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август" sheetId="31" r:id="rId1"/>
  </sheets>
  <definedNames>
    <definedName name="_xlnm.Print_Area" localSheetId="0">август!$A$1:$BE$43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9" i="31" l="1"/>
  <c r="AH14" i="31" s="1"/>
  <c r="AH28" i="31" l="1"/>
  <c r="AC13" i="31"/>
  <c r="AC14" i="31"/>
  <c r="AC27" i="31"/>
  <c r="AD28" i="31"/>
  <c r="AC22" i="31"/>
  <c r="AC17" i="31"/>
  <c r="AD18" i="31"/>
  <c r="AC12" i="31" l="1"/>
  <c r="AH18" i="31"/>
  <c r="AK18" i="31" l="1"/>
  <c r="AK19" i="31"/>
  <c r="AE18" i="31"/>
  <c r="AB19" i="31"/>
  <c r="AB14" i="31" s="1"/>
  <c r="AD14" i="31" s="1"/>
  <c r="AE14" i="31"/>
  <c r="AA24" i="31"/>
  <c r="AA23" i="31"/>
  <c r="AA19" i="31"/>
  <c r="AD19" i="31" s="1"/>
  <c r="Z15" i="31"/>
  <c r="Z14" i="31"/>
  <c r="Z13" i="31"/>
  <c r="Z17" i="31"/>
  <c r="Z22" i="31"/>
  <c r="Z27" i="31"/>
  <c r="Z12" i="31" l="1"/>
  <c r="AB23" i="31"/>
  <c r="AD23" i="31" s="1"/>
  <c r="X19" i="31"/>
  <c r="X18" i="31"/>
  <c r="W17" i="31" l="1"/>
  <c r="W22" i="31"/>
  <c r="W27" i="31"/>
  <c r="W14" i="31"/>
  <c r="W13" i="31"/>
  <c r="W12" i="31" l="1"/>
  <c r="T14" i="31" l="1"/>
  <c r="T13" i="31" l="1"/>
  <c r="T27" i="31"/>
  <c r="T22" i="31"/>
  <c r="T17" i="31"/>
  <c r="T12" i="31" l="1"/>
  <c r="P18" i="31"/>
  <c r="S18" i="31" l="1"/>
  <c r="U18" i="31" s="1"/>
  <c r="M18" i="31"/>
  <c r="R18" i="31" l="1"/>
  <c r="Q17" i="31"/>
  <c r="Q22" i="31"/>
  <c r="Q27" i="31"/>
  <c r="K17" i="31" l="1"/>
  <c r="N13" i="31"/>
  <c r="M17" i="31" l="1"/>
  <c r="O18" i="31" l="1"/>
  <c r="N17" i="31"/>
  <c r="N22" i="31"/>
  <c r="N27" i="31"/>
  <c r="N12" i="31" s="1"/>
  <c r="O17" i="31" l="1"/>
  <c r="AE28" i="31"/>
  <c r="E31" i="31" l="1"/>
  <c r="D31" i="31"/>
  <c r="E30" i="31"/>
  <c r="D30" i="31"/>
  <c r="E29" i="31"/>
  <c r="D29" i="31"/>
  <c r="AK28" i="31"/>
  <c r="Y28" i="31"/>
  <c r="AA28" i="31" s="1"/>
  <c r="V28" i="31"/>
  <c r="X28" i="31" s="1"/>
  <c r="S28" i="31"/>
  <c r="U28" i="31" s="1"/>
  <c r="P28" i="31"/>
  <c r="R28" i="31" s="1"/>
  <c r="M28" i="31"/>
  <c r="O28" i="31" s="1"/>
  <c r="J28" i="31"/>
  <c r="L28" i="31" s="1"/>
  <c r="I28" i="31"/>
  <c r="E28" i="31"/>
  <c r="AN27" i="31"/>
  <c r="AK27" i="31"/>
  <c r="AH27" i="31"/>
  <c r="AE27" i="31"/>
  <c r="AB27" i="31"/>
  <c r="AD27" i="31" s="1"/>
  <c r="S27" i="31"/>
  <c r="U27" i="31" s="1"/>
  <c r="K27" i="31"/>
  <c r="H27" i="31"/>
  <c r="G27" i="31"/>
  <c r="E26" i="31"/>
  <c r="D26" i="31"/>
  <c r="E25" i="31"/>
  <c r="D25" i="31"/>
  <c r="E24" i="31"/>
  <c r="D24" i="31"/>
  <c r="AN23" i="31"/>
  <c r="AN22" i="31" s="1"/>
  <c r="AK23" i="31"/>
  <c r="AK22" i="31" s="1"/>
  <c r="AE23" i="31"/>
  <c r="AE22" i="31" s="1"/>
  <c r="Y22" i="31"/>
  <c r="AA22" i="31" s="1"/>
  <c r="V23" i="31"/>
  <c r="X23" i="31" s="1"/>
  <c r="S23" i="31"/>
  <c r="P23" i="31"/>
  <c r="M23" i="31"/>
  <c r="M13" i="31" s="1"/>
  <c r="O13" i="31" s="1"/>
  <c r="J23" i="31"/>
  <c r="L23" i="31" s="1"/>
  <c r="E23" i="31"/>
  <c r="AH22" i="31"/>
  <c r="AB22" i="31"/>
  <c r="AD22" i="31" s="1"/>
  <c r="V22" i="31"/>
  <c r="X22" i="31" s="1"/>
  <c r="K22" i="31"/>
  <c r="J22" i="31"/>
  <c r="H22" i="31"/>
  <c r="G22" i="31"/>
  <c r="E21" i="31"/>
  <c r="D21" i="31"/>
  <c r="S20" i="31"/>
  <c r="S15" i="31" s="1"/>
  <c r="P20" i="31"/>
  <c r="E20" i="31"/>
  <c r="AN19" i="31"/>
  <c r="S19" i="31"/>
  <c r="S14" i="31" s="1"/>
  <c r="U14" i="31" s="1"/>
  <c r="P19" i="31"/>
  <c r="J19" i="31"/>
  <c r="D19" i="31" s="1"/>
  <c r="E19" i="31"/>
  <c r="Y18" i="31"/>
  <c r="AA18" i="31" s="1"/>
  <c r="J18" i="31"/>
  <c r="E18" i="31"/>
  <c r="AK17" i="31"/>
  <c r="AH17" i="31"/>
  <c r="AE17" i="31"/>
  <c r="AB17" i="31"/>
  <c r="AD17" i="31" s="1"/>
  <c r="V17" i="31"/>
  <c r="X17" i="31" s="1"/>
  <c r="H17" i="31"/>
  <c r="E17" i="31" s="1"/>
  <c r="G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/>
  <c r="AN15" i="31"/>
  <c r="AK15" i="31"/>
  <c r="AH15" i="31"/>
  <c r="AE15" i="31"/>
  <c r="AB15" i="31"/>
  <c r="V15" i="31"/>
  <c r="M15" i="31"/>
  <c r="J15" i="31"/>
  <c r="H15" i="31"/>
  <c r="E15" i="31" s="1"/>
  <c r="G15" i="31"/>
  <c r="AK14" i="31"/>
  <c r="V14" i="31"/>
  <c r="X14" i="31" s="1"/>
  <c r="P14" i="31"/>
  <c r="M14" i="31"/>
  <c r="H14" i="31"/>
  <c r="E14" i="31" s="1"/>
  <c r="G14" i="31"/>
  <c r="AN13" i="31"/>
  <c r="AH13" i="31"/>
  <c r="AB13" i="31"/>
  <c r="AD13" i="31" s="1"/>
  <c r="P13" i="31"/>
  <c r="R13" i="31" s="1"/>
  <c r="K13" i="31"/>
  <c r="H13" i="31"/>
  <c r="G13" i="31"/>
  <c r="H12" i="31" l="1"/>
  <c r="I13" i="31"/>
  <c r="Y13" i="31"/>
  <c r="AA13" i="31" s="1"/>
  <c r="D18" i="31"/>
  <c r="F18" i="31" s="1"/>
  <c r="D20" i="31"/>
  <c r="F20" i="31" s="1"/>
  <c r="G12" i="31"/>
  <c r="I12" i="31" s="1"/>
  <c r="I27" i="31"/>
  <c r="M27" i="31"/>
  <c r="O27" i="31" s="1"/>
  <c r="Y27" i="31"/>
  <c r="AA27" i="31" s="1"/>
  <c r="AK13" i="31"/>
  <c r="P22" i="31"/>
  <c r="R22" i="31" s="1"/>
  <c r="R23" i="31"/>
  <c r="J13" i="31"/>
  <c r="V13" i="31"/>
  <c r="X13" i="31" s="1"/>
  <c r="J14" i="31"/>
  <c r="P15" i="31"/>
  <c r="D15" i="31" s="1"/>
  <c r="P17" i="31"/>
  <c r="R17" i="31" s="1"/>
  <c r="L18" i="31"/>
  <c r="Y17" i="31"/>
  <c r="AA17" i="31" s="1"/>
  <c r="E22" i="31"/>
  <c r="M22" i="31"/>
  <c r="O22" i="31" s="1"/>
  <c r="O23" i="31"/>
  <c r="S22" i="31"/>
  <c r="U22" i="31" s="1"/>
  <c r="U23" i="31"/>
  <c r="P27" i="31"/>
  <c r="R27" i="31" s="1"/>
  <c r="V27" i="31"/>
  <c r="X27" i="31" s="1"/>
  <c r="S17" i="31"/>
  <c r="U17" i="31" s="1"/>
  <c r="U19" i="31"/>
  <c r="AN17" i="31"/>
  <c r="AN12" i="31" s="1"/>
  <c r="AN14" i="31"/>
  <c r="AH12" i="31"/>
  <c r="AB12" i="31"/>
  <c r="AD12" i="31" s="1"/>
  <c r="F24" i="31"/>
  <c r="V12" i="31"/>
  <c r="X12" i="31" s="1"/>
  <c r="P12" i="31"/>
  <c r="R12" i="31" s="1"/>
  <c r="E12" i="31"/>
  <c r="S12" i="31"/>
  <c r="U12" i="31" s="1"/>
  <c r="Y14" i="31"/>
  <c r="D22" i="31"/>
  <c r="D28" i="31"/>
  <c r="Y12" i="31"/>
  <c r="AA12" i="31" s="1"/>
  <c r="AK12" i="31"/>
  <c r="L13" i="31"/>
  <c r="S13" i="31"/>
  <c r="U13" i="31" s="1"/>
  <c r="AE13" i="31"/>
  <c r="J17" i="31"/>
  <c r="L22" i="31"/>
  <c r="J27" i="31"/>
  <c r="M12" i="31"/>
  <c r="O12" i="31" s="1"/>
  <c r="AE12" i="31"/>
  <c r="F16" i="31"/>
  <c r="F19" i="31"/>
  <c r="D23" i="31"/>
  <c r="F25" i="31"/>
  <c r="E27" i="31"/>
  <c r="E13" i="31"/>
  <c r="D14" i="31" l="1"/>
  <c r="AA14" i="31"/>
  <c r="F28" i="31"/>
  <c r="F22" i="31"/>
  <c r="D13" i="31"/>
  <c r="F14" i="31"/>
  <c r="D17" i="31"/>
  <c r="J12" i="31"/>
  <c r="L12" i="31" s="1"/>
  <c r="L17" i="31"/>
  <c r="L27" i="31"/>
  <c r="D27" i="31"/>
  <c r="F15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<sst xmlns="http://schemas.openxmlformats.org/spreadsheetml/2006/main" count="92" uniqueCount="43">
  <si>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</si>
  <si>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</si>
  <si>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</si>
  <si>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</si>
  <si>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</si>
  <si>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</si>
  <si>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</si>
  <si>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</si>
  <si>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</si>
  <si>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</si>
  <si>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</si>
  <si>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</si>
  <si>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</si>
  <si>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</si>
  <si>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</si>
  <si>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</si>
  <si>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</si>
  <si>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</si>
  <si>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</si>
  <si>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</si>
  <si>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</si>
  <si>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</si>
  <si>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</si>
  <si>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</si>
  <si>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</si>
  <si>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</si>
  <si>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</si>
  <si>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</si>
  <si>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</si>
  <si>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</si>
  <si>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</si>
  <si>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</si>
  <si>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</si>
  <si>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</si>
  <si>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</si>
  <si>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</si>
  <si>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</si>
  <si>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</si>
  <si>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2021 год</t>
  </si>
  <si>
    <t xml:space="preserve">Сетевой график о финансовом обеспечении реализации в 2021 году муниципальной программы </t>
  </si>
  <si>
    <t>Исполнитель: Шалина О.О.</t>
  </si>
  <si>
    <t>городской округ город Мегион по состоянию на 01.09.2021</t>
  </si>
  <si>
    <t>Начальник отдела культуры                                          Л.П.Лалаянц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</si>
</sst>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7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topLeftCell="A7" zoomScale="75" zoomScaleNormal="100" zoomScaleSheetLayoutView="75" workbookViewId="0">
      <selection activeCell="AR17" sqref="AR17:AS27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4"/>
      <c r="C1" s="5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56"/>
      <c r="Q1" s="56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6" t="s">
        <v>28</v>
      </c>
      <c r="AM1" s="77"/>
      <c r="AN1" s="77"/>
      <c r="AO1" s="77"/>
      <c r="AP1" s="77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54"/>
      <c r="C2" s="55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56"/>
      <c r="Q2" s="56"/>
      <c r="R2" s="6"/>
      <c r="S2" s="6"/>
      <c r="T2" s="6"/>
      <c r="U2" s="6"/>
      <c r="V2" s="6"/>
      <c r="W2" s="7"/>
      <c r="X2" s="6"/>
      <c r="Y2" s="6"/>
      <c r="Z2" s="78" t="s">
        <v>29</v>
      </c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54"/>
      <c r="C3" s="55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56"/>
      <c r="Q3" s="56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6" t="s">
        <v>30</v>
      </c>
      <c r="AM3" s="77"/>
      <c r="AN3" s="77"/>
      <c r="AO3" s="77"/>
      <c r="AP3" s="77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54"/>
      <c r="C4" s="55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56"/>
      <c r="Q4" s="56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54"/>
      <c r="C5" s="55"/>
      <c r="D5" s="70"/>
      <c r="E5" s="73" t="s">
        <v>39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54"/>
      <c r="C6" s="55"/>
      <c r="D6" s="70"/>
      <c r="E6" s="73" t="s">
        <v>36</v>
      </c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54"/>
      <c r="C7" s="55"/>
      <c r="D7" s="70"/>
      <c r="E7" s="73" t="s">
        <v>41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54"/>
      <c r="C8" s="55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56"/>
      <c r="Q8" s="56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x14ac:dyDescent="0.25">
      <c r="A9" s="4"/>
      <c r="B9" s="54"/>
      <c r="C9" s="55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9" t="s">
        <v>31</v>
      </c>
      <c r="AM9" s="80"/>
      <c r="AN9" s="80"/>
      <c r="AO9" s="80"/>
      <c r="AP9" s="80"/>
      <c r="AQ9" s="4"/>
      <c r="AR9" s="4"/>
    </row>
    <row r="10" spans="1:51" ht="15" customHeight="1" x14ac:dyDescent="0.25">
      <c r="A10" s="81" t="s">
        <v>0</v>
      </c>
      <c r="B10" s="81" t="s">
        <v>1</v>
      </c>
      <c r="C10" s="83" t="s">
        <v>2</v>
      </c>
      <c r="D10" s="85" t="s">
        <v>38</v>
      </c>
      <c r="E10" s="86"/>
      <c r="F10" s="87"/>
      <c r="G10" s="88" t="s">
        <v>3</v>
      </c>
      <c r="H10" s="89"/>
      <c r="I10" s="90"/>
      <c r="J10" s="88" t="s">
        <v>4</v>
      </c>
      <c r="K10" s="89"/>
      <c r="L10" s="90"/>
      <c r="M10" s="91" t="s">
        <v>5</v>
      </c>
      <c r="N10" s="92"/>
      <c r="O10" s="93"/>
      <c r="P10" s="94" t="s">
        <v>6</v>
      </c>
      <c r="Q10" s="95"/>
      <c r="R10" s="96"/>
      <c r="S10" s="97" t="s">
        <v>7</v>
      </c>
      <c r="T10" s="97"/>
      <c r="U10" s="97"/>
      <c r="V10" s="98" t="s">
        <v>8</v>
      </c>
      <c r="W10" s="98"/>
      <c r="X10" s="98"/>
      <c r="Y10" s="98" t="s">
        <v>9</v>
      </c>
      <c r="Z10" s="98"/>
      <c r="AA10" s="98"/>
      <c r="AB10" s="98" t="s">
        <v>10</v>
      </c>
      <c r="AC10" s="98"/>
      <c r="AD10" s="98"/>
      <c r="AE10" s="98" t="s">
        <v>11</v>
      </c>
      <c r="AF10" s="98"/>
      <c r="AG10" s="98"/>
      <c r="AH10" s="98" t="s">
        <v>12</v>
      </c>
      <c r="AI10" s="98"/>
      <c r="AJ10" s="98"/>
      <c r="AK10" s="97" t="s">
        <v>13</v>
      </c>
      <c r="AL10" s="97"/>
      <c r="AM10" s="97"/>
      <c r="AN10" s="111" t="s">
        <v>14</v>
      </c>
      <c r="AO10" s="111"/>
      <c r="AP10" s="111"/>
      <c r="AQ10" s="8"/>
      <c r="AR10" s="8"/>
    </row>
    <row r="11" spans="1:51" ht="15" customHeight="1" x14ac:dyDescent="0.25">
      <c r="A11" s="82"/>
      <c r="B11" s="82"/>
      <c r="C11" s="84"/>
      <c r="D11" s="9" t="s">
        <v>15</v>
      </c>
      <c r="E11" s="9" t="s">
        <v>16</v>
      </c>
      <c r="F11" s="10" t="s">
        <v>17</v>
      </c>
      <c r="G11" s="11" t="s">
        <v>18</v>
      </c>
      <c r="H11" s="68" t="s">
        <v>19</v>
      </c>
      <c r="I11" s="12" t="s">
        <v>17</v>
      </c>
      <c r="J11" s="11" t="s">
        <v>18</v>
      </c>
      <c r="K11" s="68" t="s">
        <v>19</v>
      </c>
      <c r="L11" s="12" t="s">
        <v>17</v>
      </c>
      <c r="M11" s="11" t="s">
        <v>18</v>
      </c>
      <c r="N11" s="69" t="s">
        <v>19</v>
      </c>
      <c r="O11" s="12" t="s">
        <v>17</v>
      </c>
      <c r="P11" s="11" t="s">
        <v>18</v>
      </c>
      <c r="Q11" s="69" t="s">
        <v>19</v>
      </c>
      <c r="R11" s="69" t="s">
        <v>17</v>
      </c>
      <c r="S11" s="11" t="s">
        <v>18</v>
      </c>
      <c r="T11" s="69" t="s">
        <v>19</v>
      </c>
      <c r="U11" s="12" t="s">
        <v>17</v>
      </c>
      <c r="V11" s="11" t="s">
        <v>18</v>
      </c>
      <c r="W11" s="69" t="s">
        <v>19</v>
      </c>
      <c r="X11" s="12" t="s">
        <v>17</v>
      </c>
      <c r="Y11" s="11" t="s">
        <v>18</v>
      </c>
      <c r="Z11" s="69" t="s">
        <v>19</v>
      </c>
      <c r="AA11" s="68" t="s">
        <v>17</v>
      </c>
      <c r="AB11" s="11" t="s">
        <v>18</v>
      </c>
      <c r="AC11" s="69" t="s">
        <v>19</v>
      </c>
      <c r="AD11" s="12" t="s">
        <v>17</v>
      </c>
      <c r="AE11" s="11" t="s">
        <v>18</v>
      </c>
      <c r="AF11" s="69" t="s">
        <v>19</v>
      </c>
      <c r="AG11" s="12" t="s">
        <v>17</v>
      </c>
      <c r="AH11" s="11" t="s">
        <v>18</v>
      </c>
      <c r="AI11" s="69" t="s">
        <v>19</v>
      </c>
      <c r="AJ11" s="12" t="s">
        <v>17</v>
      </c>
      <c r="AK11" s="11" t="s">
        <v>18</v>
      </c>
      <c r="AL11" s="69" t="s">
        <v>19</v>
      </c>
      <c r="AM11" s="12" t="s">
        <v>17</v>
      </c>
      <c r="AN11" s="13" t="s">
        <v>18</v>
      </c>
      <c r="AO11" s="69" t="s">
        <v>19</v>
      </c>
      <c r="AP11" s="14" t="s">
        <v>17</v>
      </c>
      <c r="AQ11" s="8"/>
      <c r="AR11" s="8"/>
    </row>
    <row r="12" spans="1:51" ht="28.5" customHeight="1" x14ac:dyDescent="0.25">
      <c r="A12" s="105"/>
      <c r="B12" s="108" t="s">
        <v>37</v>
      </c>
      <c r="C12" s="16" t="s">
        <v>20</v>
      </c>
      <c r="D12" s="40">
        <f t="shared" ref="D12:E20" si="0">G12+J12+M12+P12+S12+V12+Y12+AB12+AE12+AH12+AK12+AN12</f>
        <v>427410.05</v>
      </c>
      <c r="E12" s="40">
        <f t="shared" si="0"/>
        <v>291132.59999999998</v>
      </c>
      <c r="F12" s="63">
        <f t="shared" ref="F12:F20" si="1">E12/D12*100</f>
        <v>68.115525126280957</v>
      </c>
      <c r="G12" s="27">
        <f t="shared" ref="G12:H16" si="2">G17+G22+G27</f>
        <v>14552.8</v>
      </c>
      <c r="H12" s="62">
        <f t="shared" si="2"/>
        <v>28193.279999999999</v>
      </c>
      <c r="I12" s="62">
        <f>H12/G12*100</f>
        <v>193.73096586223957</v>
      </c>
      <c r="J12" s="27">
        <f>J17+J22+J27</f>
        <v>35553.67</v>
      </c>
      <c r="K12" s="62">
        <v>16681.32</v>
      </c>
      <c r="L12" s="27">
        <f>K12/J12*100</f>
        <v>46.918700657344239</v>
      </c>
      <c r="M12" s="27">
        <f>M17+M22+M27</f>
        <v>34638.869999999995</v>
      </c>
      <c r="N12" s="62">
        <f>N17+N22+N27</f>
        <v>33758</v>
      </c>
      <c r="O12" s="27">
        <f>N12/M12*100</f>
        <v>97.456989792103514</v>
      </c>
      <c r="P12" s="27">
        <f>P17+P22+P27</f>
        <v>40074.21</v>
      </c>
      <c r="Q12" s="62">
        <v>60440.94</v>
      </c>
      <c r="R12" s="62">
        <f>Q12/P12*100</f>
        <v>150.82253648917847</v>
      </c>
      <c r="S12" s="62">
        <f t="shared" ref="S12:T14" si="3">S17+S22+S27</f>
        <v>46806.31</v>
      </c>
      <c r="T12" s="62">
        <f t="shared" si="3"/>
        <v>36332.35</v>
      </c>
      <c r="U12" s="27">
        <f>T12/S12*100</f>
        <v>77.622760691881069</v>
      </c>
      <c r="V12" s="27">
        <f>V17+V22+V27</f>
        <v>46964.31</v>
      </c>
      <c r="W12" s="37">
        <f>W17+W22+W27</f>
        <v>49678.879999999997</v>
      </c>
      <c r="X12" s="27">
        <f>W12/V12*100</f>
        <v>105.78007001486873</v>
      </c>
      <c r="Y12" s="27">
        <f>Y17+Y22+Y27</f>
        <v>42752.61</v>
      </c>
      <c r="Z12" s="27">
        <f>Z13+Z14+Z15+Z16</f>
        <v>42163.59</v>
      </c>
      <c r="AA12" s="27">
        <f>Z12/Y12*100</f>
        <v>98.622259553276393</v>
      </c>
      <c r="AB12" s="27">
        <f>AB17+AB22+AB27</f>
        <v>35198.22</v>
      </c>
      <c r="AC12" s="27">
        <f>AC13+AC14</f>
        <v>23884.240000000002</v>
      </c>
      <c r="AD12" s="27">
        <f>AC12/AB12*100</f>
        <v>67.856385919515247</v>
      </c>
      <c r="AE12" s="27">
        <f>AE17+AE22+AE27</f>
        <v>36137.43</v>
      </c>
      <c r="AF12" s="27">
        <v>0</v>
      </c>
      <c r="AG12" s="27">
        <v>0</v>
      </c>
      <c r="AH12" s="27">
        <f>AH17+AH22+AH27</f>
        <v>35720.54</v>
      </c>
      <c r="AI12" s="27">
        <v>0</v>
      </c>
      <c r="AJ12" s="27">
        <v>0</v>
      </c>
      <c r="AK12" s="27">
        <f>AK17+AK22+AK27</f>
        <v>32582.58</v>
      </c>
      <c r="AL12" s="27">
        <v>0</v>
      </c>
      <c r="AM12" s="27">
        <v>0</v>
      </c>
      <c r="AN12" s="27">
        <f>AN17+AN22+AN27</f>
        <v>26428.5</v>
      </c>
      <c r="AO12" s="27">
        <v>0</v>
      </c>
      <c r="AP12" s="27">
        <v>0</v>
      </c>
      <c r="AQ12" s="17"/>
      <c r="AR12" s="18"/>
    </row>
    <row r="13" spans="1:51" ht="39" customHeight="1" x14ac:dyDescent="0.25">
      <c r="A13" s="106"/>
      <c r="B13" s="109"/>
      <c r="C13" s="19" t="s">
        <v>21</v>
      </c>
      <c r="D13" s="42">
        <f t="shared" si="0"/>
        <v>424526.98</v>
      </c>
      <c r="E13" s="42">
        <f t="shared" si="0"/>
        <v>289912.86999999994</v>
      </c>
      <c r="F13" s="63">
        <f t="shared" si="1"/>
        <v>68.290799797930376</v>
      </c>
      <c r="G13" s="27">
        <f t="shared" si="2"/>
        <v>14552.8</v>
      </c>
      <c r="H13" s="62">
        <f t="shared" si="2"/>
        <v>28193.279999999999</v>
      </c>
      <c r="I13" s="27">
        <f>H13/G13*100</f>
        <v>193.73096586223957</v>
      </c>
      <c r="J13" s="27">
        <f>J18+J23+J28</f>
        <v>35536.17</v>
      </c>
      <c r="K13" s="62">
        <f>K18+K23+K28</f>
        <v>16681.32</v>
      </c>
      <c r="L13" s="27">
        <f>K13/J13*100</f>
        <v>46.941806052818862</v>
      </c>
      <c r="M13" s="27">
        <f>M18+M23+M28</f>
        <v>34109.899999999994</v>
      </c>
      <c r="N13" s="62">
        <f>N18+N23+N28</f>
        <v>33758</v>
      </c>
      <c r="O13" s="27">
        <f>N13/M13*100</f>
        <v>98.968334706346269</v>
      </c>
      <c r="P13" s="27">
        <f>P18+P23+P28</f>
        <v>40065.410000000003</v>
      </c>
      <c r="Q13" s="62">
        <v>60440.94</v>
      </c>
      <c r="R13" s="62">
        <f>Q13/P13*100</f>
        <v>150.8556632766269</v>
      </c>
      <c r="S13" s="62">
        <f t="shared" si="3"/>
        <v>46797.509999999995</v>
      </c>
      <c r="T13" s="62">
        <f t="shared" si="3"/>
        <v>36223.68</v>
      </c>
      <c r="U13" s="27">
        <f>T13/S13*100</f>
        <v>77.405143991635455</v>
      </c>
      <c r="V13" s="27">
        <f>V18+V23+V28</f>
        <v>46524.61</v>
      </c>
      <c r="W13" s="37">
        <f>W18+W23+W28</f>
        <v>49571.049999999996</v>
      </c>
      <c r="X13" s="27">
        <f>W13/V13*100</f>
        <v>106.54801834985828</v>
      </c>
      <c r="Y13" s="27">
        <f>Y18+Y23+Y28</f>
        <v>42343.810000000005</v>
      </c>
      <c r="Z13" s="27">
        <f>Z18+Z23+Z28</f>
        <v>41166.31</v>
      </c>
      <c r="AA13" s="27">
        <f>Z13/Y13*100</f>
        <v>97.219192132214829</v>
      </c>
      <c r="AB13" s="27">
        <f>AB18+AB23+AB28</f>
        <v>35118.020000000004</v>
      </c>
      <c r="AC13" s="27">
        <f>AC18+AC23+AC28</f>
        <v>23878.29</v>
      </c>
      <c r="AD13" s="27">
        <f>AC13/AB13*100</f>
        <v>67.994408568592419</v>
      </c>
      <c r="AE13" s="27">
        <f>AE18+AE23+AE28</f>
        <v>35123.629999999997</v>
      </c>
      <c r="AF13" s="27">
        <v>0</v>
      </c>
      <c r="AG13" s="27">
        <v>0</v>
      </c>
      <c r="AH13" s="27">
        <f>AH18+AH23+AH28</f>
        <v>35392.54</v>
      </c>
      <c r="AI13" s="27">
        <v>0</v>
      </c>
      <c r="AJ13" s="27">
        <v>0</v>
      </c>
      <c r="AK13" s="27">
        <f>AK18+AK23+AK28</f>
        <v>32542.880000000001</v>
      </c>
      <c r="AL13" s="27">
        <v>0</v>
      </c>
      <c r="AM13" s="27">
        <v>0</v>
      </c>
      <c r="AN13" s="27">
        <f>AN18+AN23+AN28</f>
        <v>26419.7</v>
      </c>
      <c r="AO13" s="27">
        <v>0</v>
      </c>
      <c r="AP13" s="63">
        <v>0</v>
      </c>
      <c r="AQ13" s="20"/>
      <c r="AR13" s="8"/>
    </row>
    <row r="14" spans="1:51" ht="30" customHeight="1" x14ac:dyDescent="0.25">
      <c r="A14" s="106"/>
      <c r="B14" s="109"/>
      <c r="C14" s="19" t="s">
        <v>22</v>
      </c>
      <c r="D14" s="42">
        <f t="shared" si="0"/>
        <v>2752.4700000000003</v>
      </c>
      <c r="E14" s="42">
        <f t="shared" si="0"/>
        <v>1219.73</v>
      </c>
      <c r="F14" s="26">
        <f t="shared" si="1"/>
        <v>44.314016138232205</v>
      </c>
      <c r="G14" s="27">
        <f t="shared" si="2"/>
        <v>0</v>
      </c>
      <c r="H14" s="28">
        <f t="shared" si="2"/>
        <v>0</v>
      </c>
      <c r="I14" s="28" t="e">
        <v>#DIV/0!</v>
      </c>
      <c r="J14" s="27">
        <f>J19+J24+J29</f>
        <v>17.5</v>
      </c>
      <c r="K14" s="28">
        <v>0</v>
      </c>
      <c r="L14" s="28" t="e">
        <v>#DIV/0!</v>
      </c>
      <c r="M14" s="27">
        <f>M19+M24+M29</f>
        <v>398.37</v>
      </c>
      <c r="N14" s="29">
        <v>0</v>
      </c>
      <c r="O14" s="28">
        <v>0</v>
      </c>
      <c r="P14" s="27">
        <f>P19+P24+P29</f>
        <v>8.8000000000000007</v>
      </c>
      <c r="Q14" s="29">
        <v>0</v>
      </c>
      <c r="R14" s="29">
        <v>0</v>
      </c>
      <c r="S14" s="30">
        <f t="shared" si="3"/>
        <v>8.8000000000000007</v>
      </c>
      <c r="T14" s="29">
        <f t="shared" si="3"/>
        <v>108.67</v>
      </c>
      <c r="U14" s="28">
        <f>T14/S14*100</f>
        <v>1234.8863636363635</v>
      </c>
      <c r="V14" s="30">
        <f>V19+V24+V29</f>
        <v>439.7</v>
      </c>
      <c r="W14" s="38">
        <f>W19</f>
        <v>107.83</v>
      </c>
      <c r="X14" s="28">
        <f>W14/V14*100</f>
        <v>24.523538776438482</v>
      </c>
      <c r="Y14" s="30">
        <f>Y19+Y24+Y29</f>
        <v>408.8</v>
      </c>
      <c r="Z14" s="29">
        <f>Z19+Z24+Z29</f>
        <v>997.28</v>
      </c>
      <c r="AA14" s="28">
        <f>Z14/Y14*100</f>
        <v>243.95303326810173</v>
      </c>
      <c r="AB14" s="30">
        <f>AB19+AB24+AB29</f>
        <v>80.2</v>
      </c>
      <c r="AC14" s="29">
        <f>AC19+AC24+AC29</f>
        <v>5.95</v>
      </c>
      <c r="AD14" s="28">
        <f>AC14/AB14*100</f>
        <v>7.418952618453865</v>
      </c>
      <c r="AE14" s="30">
        <f>AE19+AE24+AE29</f>
        <v>1013.8</v>
      </c>
      <c r="AF14" s="29">
        <v>0</v>
      </c>
      <c r="AG14" s="28" t="e">
        <v>#DIV/0!</v>
      </c>
      <c r="AH14" s="30">
        <f>AH19+AH24+AH29</f>
        <v>328</v>
      </c>
      <c r="AI14" s="29">
        <v>0</v>
      </c>
      <c r="AJ14" s="28" t="e">
        <v>#DIV/0!</v>
      </c>
      <c r="AK14" s="30">
        <f>AK19+AK24+AK29</f>
        <v>39.700000000000003</v>
      </c>
      <c r="AL14" s="29">
        <v>0</v>
      </c>
      <c r="AM14" s="28" t="e">
        <v>#DIV/0!</v>
      </c>
      <c r="AN14" s="47">
        <f>AN19+AN24+AN29</f>
        <v>8.8000000000000007</v>
      </c>
      <c r="AO14" s="29">
        <v>0</v>
      </c>
      <c r="AP14" s="48" t="e">
        <v>#DIV/0!</v>
      </c>
      <c r="AQ14" s="21"/>
      <c r="AR14" s="8"/>
    </row>
    <row r="15" spans="1:51" ht="33" customHeight="1" x14ac:dyDescent="0.25">
      <c r="A15" s="106"/>
      <c r="B15" s="109"/>
      <c r="C15" s="19" t="s">
        <v>23</v>
      </c>
      <c r="D15" s="42">
        <f t="shared" si="0"/>
        <v>130.6</v>
      </c>
      <c r="E15" s="42">
        <f t="shared" si="0"/>
        <v>0</v>
      </c>
      <c r="F15" s="26">
        <f t="shared" si="1"/>
        <v>0</v>
      </c>
      <c r="G15" s="27">
        <f t="shared" si="2"/>
        <v>0</v>
      </c>
      <c r="H15" s="28">
        <f t="shared" si="2"/>
        <v>0</v>
      </c>
      <c r="I15" s="28" t="e">
        <v>#DIV/0!</v>
      </c>
      <c r="J15" s="27">
        <f>J20+J25+J30</f>
        <v>0</v>
      </c>
      <c r="K15" s="28">
        <v>0</v>
      </c>
      <c r="L15" s="28" t="e">
        <v>#DIV/0!</v>
      </c>
      <c r="M15" s="27">
        <f>M20+M25+M30</f>
        <v>130.6</v>
      </c>
      <c r="N15" s="29">
        <v>0</v>
      </c>
      <c r="O15" s="28" t="e">
        <v>#DIV/0!</v>
      </c>
      <c r="P15" s="27">
        <f>P20+P25+P30</f>
        <v>0</v>
      </c>
      <c r="Q15" s="29">
        <v>0</v>
      </c>
      <c r="R15" s="29">
        <v>0</v>
      </c>
      <c r="S15" s="27">
        <f>S20+S25+S30</f>
        <v>0</v>
      </c>
      <c r="T15" s="29">
        <v>0</v>
      </c>
      <c r="U15" s="28">
        <v>0</v>
      </c>
      <c r="V15" s="27">
        <f>V20+V25+V30</f>
        <v>0</v>
      </c>
      <c r="W15" s="38">
        <v>0</v>
      </c>
      <c r="X15" s="28">
        <v>0</v>
      </c>
      <c r="Y15" s="27">
        <v>0</v>
      </c>
      <c r="Z15" s="29">
        <f>Z20+Z25+Z30</f>
        <v>0</v>
      </c>
      <c r="AA15" s="28" t="e">
        <v>#DIV/0!</v>
      </c>
      <c r="AB15" s="27">
        <f>AB20+AB25+AB30</f>
        <v>0</v>
      </c>
      <c r="AC15" s="29">
        <v>0</v>
      </c>
      <c r="AD15" s="28" t="e">
        <v>#DIV/0!</v>
      </c>
      <c r="AE15" s="27">
        <f>AE20+AE25+AE30</f>
        <v>0</v>
      </c>
      <c r="AF15" s="29">
        <v>0</v>
      </c>
      <c r="AG15" s="28" t="e">
        <v>#DIV/0!</v>
      </c>
      <c r="AH15" s="27">
        <f>AH20+AH25+AH30</f>
        <v>0</v>
      </c>
      <c r="AI15" s="29">
        <v>0</v>
      </c>
      <c r="AJ15" s="28">
        <v>0</v>
      </c>
      <c r="AK15" s="27">
        <f>AK20+AK25+AK30</f>
        <v>0</v>
      </c>
      <c r="AL15" s="29">
        <v>0</v>
      </c>
      <c r="AM15" s="28" t="e">
        <v>#DIV/0!</v>
      </c>
      <c r="AN15" s="49">
        <f>AN20+AN25+AN30</f>
        <v>0</v>
      </c>
      <c r="AO15" s="29">
        <v>0</v>
      </c>
      <c r="AP15" s="48" t="e">
        <v>#DIV/0!</v>
      </c>
      <c r="AQ15" s="21"/>
      <c r="AR15" s="8"/>
    </row>
    <row r="16" spans="1:51" ht="43.5" customHeight="1" x14ac:dyDescent="0.25">
      <c r="A16" s="107"/>
      <c r="B16" s="110"/>
      <c r="C16" s="16" t="s">
        <v>24</v>
      </c>
      <c r="D16" s="42">
        <f t="shared" si="0"/>
        <v>0</v>
      </c>
      <c r="E16" s="42">
        <f t="shared" si="0"/>
        <v>0</v>
      </c>
      <c r="F16" s="26" t="e">
        <f t="shared" si="1"/>
        <v>#DIV/0!</v>
      </c>
      <c r="G16" s="31">
        <f t="shared" si="2"/>
        <v>0</v>
      </c>
      <c r="H16" s="26">
        <f t="shared" si="2"/>
        <v>0</v>
      </c>
      <c r="I16" s="28" t="e">
        <v>#DIV/0!</v>
      </c>
      <c r="J16" s="31">
        <f>J21+J26+J31</f>
        <v>0</v>
      </c>
      <c r="K16" s="28">
        <v>0</v>
      </c>
      <c r="L16" s="28" t="e">
        <v>#DIV/0!</v>
      </c>
      <c r="M16" s="31">
        <f>M21+M26+M31</f>
        <v>0</v>
      </c>
      <c r="N16" s="32">
        <v>0</v>
      </c>
      <c r="O16" s="28" t="e">
        <v>#DIV/0!</v>
      </c>
      <c r="P16" s="31">
        <f>P21+P26+P31</f>
        <v>0</v>
      </c>
      <c r="Q16" s="32">
        <v>0</v>
      </c>
      <c r="R16" s="29" t="e">
        <v>#DIV/0!</v>
      </c>
      <c r="S16" s="31">
        <f>S21+S26+S31</f>
        <v>0</v>
      </c>
      <c r="T16" s="32">
        <v>0</v>
      </c>
      <c r="U16" s="28" t="e">
        <v>#DIV/0!</v>
      </c>
      <c r="V16" s="31">
        <f>V21+V26+V31</f>
        <v>0</v>
      </c>
      <c r="W16" s="39">
        <v>0</v>
      </c>
      <c r="X16" s="28" t="e">
        <v>#DIV/0!</v>
      </c>
      <c r="Y16" s="31">
        <v>0</v>
      </c>
      <c r="Z16" s="32">
        <v>0</v>
      </c>
      <c r="AA16" s="28" t="e">
        <v>#DIV/0!</v>
      </c>
      <c r="AB16" s="31">
        <f>AB21+AB26+AB31</f>
        <v>0</v>
      </c>
      <c r="AC16" s="32">
        <v>0</v>
      </c>
      <c r="AD16" s="28" t="e">
        <v>#DIV/0!</v>
      </c>
      <c r="AE16" s="31">
        <f>AE21+AE26+AE31</f>
        <v>0</v>
      </c>
      <c r="AF16" s="26">
        <v>0</v>
      </c>
      <c r="AG16" s="28" t="e">
        <v>#DIV/0!</v>
      </c>
      <c r="AH16" s="31">
        <f>AH21+AH26+AH31</f>
        <v>0</v>
      </c>
      <c r="AI16" s="32">
        <v>0</v>
      </c>
      <c r="AJ16" s="28" t="e">
        <v>#DIV/0!</v>
      </c>
      <c r="AK16" s="31">
        <f>AK21+AK26+AK31</f>
        <v>0</v>
      </c>
      <c r="AL16" s="32">
        <v>0</v>
      </c>
      <c r="AM16" s="28" t="e">
        <v>#DIV/0!</v>
      </c>
      <c r="AN16" s="50">
        <f>AN21+AN26+AN31</f>
        <v>0</v>
      </c>
      <c r="AO16" s="32">
        <v>0</v>
      </c>
      <c r="AP16" s="32" t="e">
        <v>#DIV/0!</v>
      </c>
      <c r="AQ16" s="21"/>
      <c r="AR16" s="8"/>
    </row>
    <row r="17" spans="1:44" ht="39" customHeight="1" x14ac:dyDescent="0.25">
      <c r="A17" s="99" t="s">
        <v>25</v>
      </c>
      <c r="B17" s="102" t="s">
        <v>33</v>
      </c>
      <c r="C17" s="16" t="s">
        <v>20</v>
      </c>
      <c r="D17" s="40">
        <f t="shared" si="0"/>
        <v>10237.99</v>
      </c>
      <c r="E17" s="40">
        <f>H17+K17+N17+Q17+T17+W17+Z17+AC17+AF17+AI17+AL17+AO17</f>
        <v>3534.14</v>
      </c>
      <c r="F17" s="33">
        <f t="shared" si="1"/>
        <v>34.519861808812081</v>
      </c>
      <c r="G17" s="33">
        <f>G18+G19+G20+G21</f>
        <v>0</v>
      </c>
      <c r="H17" s="33">
        <f>H18+H19+H20+H21</f>
        <v>0</v>
      </c>
      <c r="I17" s="33" t="e">
        <v>#DIV/0!</v>
      </c>
      <c r="J17" s="33">
        <f>J18+J19+J20+J21</f>
        <v>249.47</v>
      </c>
      <c r="K17" s="33">
        <f>K18+K19+K20+K21</f>
        <v>137.5</v>
      </c>
      <c r="L17" s="33">
        <f>K17/J17*100</f>
        <v>55.116847717160375</v>
      </c>
      <c r="M17" s="33">
        <f>M18+M19+M20+M21</f>
        <v>659.03</v>
      </c>
      <c r="N17" s="33">
        <f>N18+N19+N20+N21</f>
        <v>44.58</v>
      </c>
      <c r="O17" s="33">
        <f>N17/M17*100</f>
        <v>6.7644872008861503</v>
      </c>
      <c r="P17" s="33">
        <f>P18+P19+P20+P21</f>
        <v>353.37</v>
      </c>
      <c r="Q17" s="33">
        <f>Q18+Q19+Q20+Q21</f>
        <v>109.43</v>
      </c>
      <c r="R17" s="34">
        <f>Q17/P17*100</f>
        <v>30.967541104225031</v>
      </c>
      <c r="S17" s="33">
        <f>S18+S19+S20+S21</f>
        <v>239.17000000000002</v>
      </c>
      <c r="T17" s="33">
        <f>T18+T19+T20+T21</f>
        <v>486.59000000000003</v>
      </c>
      <c r="U17" s="34">
        <f>T17/S17*100</f>
        <v>203.44942927624703</v>
      </c>
      <c r="V17" s="33">
        <f>V18+V19+V20+V21</f>
        <v>935.67000000000007</v>
      </c>
      <c r="W17" s="40">
        <f>W18+W19</f>
        <v>446.96</v>
      </c>
      <c r="X17" s="34">
        <f>W17/V17*100</f>
        <v>47.768978379129393</v>
      </c>
      <c r="Y17" s="33">
        <f>Y18+Y19+Y20+Y21</f>
        <v>539.17000000000007</v>
      </c>
      <c r="Z17" s="33">
        <f>Z18+Z19+Z20+Z21</f>
        <v>1550.31</v>
      </c>
      <c r="AA17" s="34">
        <f>Z17/Y17*100</f>
        <v>287.53639853849432</v>
      </c>
      <c r="AB17" s="33">
        <f>AB18+AB19+AB20+AB21</f>
        <v>1126.5</v>
      </c>
      <c r="AC17" s="33">
        <f>AC18+AC19</f>
        <v>758.7700000000001</v>
      </c>
      <c r="AD17" s="34">
        <f>AC17/AB17*100</f>
        <v>67.356413670661354</v>
      </c>
      <c r="AE17" s="33">
        <f>AE18+AE19+AE20+AE21</f>
        <v>2698.59</v>
      </c>
      <c r="AF17" s="33">
        <v>0</v>
      </c>
      <c r="AG17" s="34">
        <v>0</v>
      </c>
      <c r="AH17" s="33">
        <f>AH18+AH19+AH20+AH21</f>
        <v>1584.58</v>
      </c>
      <c r="AI17" s="33">
        <v>0</v>
      </c>
      <c r="AJ17" s="34">
        <v>0</v>
      </c>
      <c r="AK17" s="33">
        <f>AK18+AK19+AK20+AK21</f>
        <v>920.04000000000008</v>
      </c>
      <c r="AL17" s="33">
        <v>0</v>
      </c>
      <c r="AM17" s="34" t="e">
        <v>#DIV/0!</v>
      </c>
      <c r="AN17" s="33">
        <f>AN18+AN19+AN20+AN21</f>
        <v>932.4</v>
      </c>
      <c r="AO17" s="33">
        <v>0</v>
      </c>
      <c r="AP17" s="33" t="e">
        <v>#DIV/0!</v>
      </c>
      <c r="AQ17" s="17"/>
    </row>
    <row r="18" spans="1:44" ht="26.25" customHeight="1" x14ac:dyDescent="0.25">
      <c r="A18" s="100"/>
      <c r="B18" s="103"/>
      <c r="C18" s="19" t="s">
        <v>21</v>
      </c>
      <c r="D18" s="42">
        <f t="shared" si="0"/>
        <v>7990.22</v>
      </c>
      <c r="E18" s="42">
        <f t="shared" si="0"/>
        <v>2514.4100000000003</v>
      </c>
      <c r="F18" s="26">
        <f t="shared" si="1"/>
        <v>31.468595357824942</v>
      </c>
      <c r="G18" s="31">
        <v>0</v>
      </c>
      <c r="H18" s="26">
        <v>0</v>
      </c>
      <c r="I18" s="28" t="e">
        <v>#DIV/0!</v>
      </c>
      <c r="J18" s="31">
        <f>3.1+228.87</f>
        <v>231.97</v>
      </c>
      <c r="K18" s="28">
        <v>137.5</v>
      </c>
      <c r="L18" s="28">
        <f>K18/J18*100</f>
        <v>59.274906237875591</v>
      </c>
      <c r="M18" s="31">
        <f>236.5+228.87+99.99</f>
        <v>565.36</v>
      </c>
      <c r="N18" s="57">
        <v>44.58</v>
      </c>
      <c r="O18" s="28">
        <f>N18/M18*100</f>
        <v>7.8852412622046124</v>
      </c>
      <c r="P18" s="31">
        <f>115.7+228.87</f>
        <v>344.57</v>
      </c>
      <c r="Q18" s="26">
        <v>109.43</v>
      </c>
      <c r="R18" s="29">
        <f>Q18/P18*100</f>
        <v>31.758423542386165</v>
      </c>
      <c r="S18" s="31">
        <f>1.5+228.87</f>
        <v>230.37</v>
      </c>
      <c r="T18" s="26">
        <v>377.92</v>
      </c>
      <c r="U18" s="28">
        <f>T18/S18*100</f>
        <v>164.04913834266614</v>
      </c>
      <c r="V18" s="59">
        <v>595.97</v>
      </c>
      <c r="W18" s="60">
        <v>339.13</v>
      </c>
      <c r="X18" s="28">
        <f>W18/V18*100</f>
        <v>56.903871000218132</v>
      </c>
      <c r="Y18" s="31">
        <f>1.5+228.87</f>
        <v>230.37</v>
      </c>
      <c r="Z18" s="26">
        <v>753.03</v>
      </c>
      <c r="AA18" s="28">
        <f>Z18/Y18*100</f>
        <v>326.87849980466206</v>
      </c>
      <c r="AB18" s="31">
        <v>1046.3</v>
      </c>
      <c r="AC18" s="26">
        <v>752.82</v>
      </c>
      <c r="AD18" s="28">
        <f>AC18/AB18*100</f>
        <v>71.950683360412896</v>
      </c>
      <c r="AE18" s="31">
        <f>1273.1+100+311.69</f>
        <v>1684.79</v>
      </c>
      <c r="AF18" s="26">
        <v>0</v>
      </c>
      <c r="AG18" s="28">
        <v>0</v>
      </c>
      <c r="AH18" s="31">
        <f>1.5+228.87+100+500+300+126.21</f>
        <v>1256.58</v>
      </c>
      <c r="AI18" s="26">
        <v>0</v>
      </c>
      <c r="AJ18" s="28">
        <v>0</v>
      </c>
      <c r="AK18" s="31">
        <f>7+228.87+100+500+44.47</f>
        <v>880.34</v>
      </c>
      <c r="AL18" s="26">
        <v>0</v>
      </c>
      <c r="AM18" s="28" t="e">
        <v>#DIV/0!</v>
      </c>
      <c r="AN18" s="50">
        <v>923.6</v>
      </c>
      <c r="AO18" s="26">
        <v>0</v>
      </c>
      <c r="AP18" s="46" t="e">
        <v>#DIV/0!</v>
      </c>
      <c r="AQ18" s="20"/>
    </row>
    <row r="19" spans="1:44" s="65" customFormat="1" ht="26.25" customHeight="1" x14ac:dyDescent="0.25">
      <c r="A19" s="100"/>
      <c r="B19" s="103"/>
      <c r="C19" s="16" t="s">
        <v>22</v>
      </c>
      <c r="D19" s="60">
        <f t="shared" si="0"/>
        <v>2247.77</v>
      </c>
      <c r="E19" s="60">
        <f t="shared" si="0"/>
        <v>1019.73</v>
      </c>
      <c r="F19" s="26">
        <f t="shared" si="1"/>
        <v>45.36629637373931</v>
      </c>
      <c r="G19" s="26">
        <v>0</v>
      </c>
      <c r="H19" s="26">
        <v>0</v>
      </c>
      <c r="I19" s="28" t="e">
        <v>#DIV/0!</v>
      </c>
      <c r="J19" s="26">
        <f>17.5</f>
        <v>17.5</v>
      </c>
      <c r="K19" s="28">
        <v>0</v>
      </c>
      <c r="L19" s="28" t="e">
        <v>#DIV/0!</v>
      </c>
      <c r="M19" s="26">
        <v>93.67</v>
      </c>
      <c r="N19" s="26">
        <v>0</v>
      </c>
      <c r="O19" s="28">
        <v>0</v>
      </c>
      <c r="P19" s="26">
        <f>8.8</f>
        <v>8.8000000000000007</v>
      </c>
      <c r="Q19" s="26">
        <v>0</v>
      </c>
      <c r="R19" s="28">
        <v>0</v>
      </c>
      <c r="S19" s="26">
        <f>8.8</f>
        <v>8.8000000000000007</v>
      </c>
      <c r="T19" s="26">
        <v>108.67</v>
      </c>
      <c r="U19" s="28">
        <f>T19/S19*100</f>
        <v>1234.8863636363635</v>
      </c>
      <c r="V19" s="26">
        <v>339.7</v>
      </c>
      <c r="W19" s="60">
        <v>107.83</v>
      </c>
      <c r="X19" s="28">
        <f>W19/V19*100</f>
        <v>31.742714159552548</v>
      </c>
      <c r="Y19" s="26">
        <v>308.8</v>
      </c>
      <c r="Z19" s="26">
        <v>797.28</v>
      </c>
      <c r="AA19" s="28">
        <f>Z19/Y19*100</f>
        <v>258.18652849740931</v>
      </c>
      <c r="AB19" s="26">
        <f>80.2</f>
        <v>80.2</v>
      </c>
      <c r="AC19" s="26">
        <v>5.95</v>
      </c>
      <c r="AD19" s="28">
        <f>AC19/AA19*100</f>
        <v>2.3045354204294601</v>
      </c>
      <c r="AE19" s="26">
        <v>1013.8</v>
      </c>
      <c r="AF19" s="26">
        <v>0</v>
      </c>
      <c r="AG19" s="28" t="e">
        <v>#DIV/0!</v>
      </c>
      <c r="AH19" s="26">
        <f>8.8+319.2</f>
        <v>328</v>
      </c>
      <c r="AI19" s="26">
        <v>0</v>
      </c>
      <c r="AJ19" s="28" t="e">
        <v>#DIV/0!</v>
      </c>
      <c r="AK19" s="26">
        <f>39.7</f>
        <v>39.700000000000003</v>
      </c>
      <c r="AL19" s="26">
        <v>0</v>
      </c>
      <c r="AM19" s="28" t="e">
        <v>#DIV/0!</v>
      </c>
      <c r="AN19" s="71">
        <f>8.8</f>
        <v>8.8000000000000007</v>
      </c>
      <c r="AO19" s="26">
        <v>0</v>
      </c>
      <c r="AP19" s="26" t="e">
        <v>#DIV/0!</v>
      </c>
      <c r="AQ19" s="72"/>
    </row>
    <row r="20" spans="1:44" ht="26.25" customHeight="1" x14ac:dyDescent="0.25">
      <c r="A20" s="100"/>
      <c r="B20" s="103"/>
      <c r="C20" s="19" t="s">
        <v>23</v>
      </c>
      <c r="D20" s="42">
        <f t="shared" si="0"/>
        <v>0</v>
      </c>
      <c r="E20" s="42">
        <f t="shared" si="0"/>
        <v>0</v>
      </c>
      <c r="F20" s="26" t="e">
        <f t="shared" si="1"/>
        <v>#DIV/0!</v>
      </c>
      <c r="G20" s="31">
        <v>0</v>
      </c>
      <c r="H20" s="26">
        <v>0</v>
      </c>
      <c r="I20" s="28" t="e">
        <v>#DIV/0!</v>
      </c>
      <c r="J20" s="31">
        <v>0</v>
      </c>
      <c r="K20" s="28">
        <v>0</v>
      </c>
      <c r="L20" s="28" t="e">
        <v>#DIV/0!</v>
      </c>
      <c r="M20" s="31">
        <v>0</v>
      </c>
      <c r="N20" s="32">
        <v>0</v>
      </c>
      <c r="O20" s="28" t="e">
        <v>#DIV/0!</v>
      </c>
      <c r="P20" s="31">
        <f>50.4-50.4</f>
        <v>0</v>
      </c>
      <c r="Q20" s="32">
        <v>0</v>
      </c>
      <c r="R20" s="29">
        <v>0</v>
      </c>
      <c r="S20" s="31">
        <f>50.4-50.4</f>
        <v>0</v>
      </c>
      <c r="T20" s="32">
        <v>0</v>
      </c>
      <c r="U20" s="28">
        <v>0</v>
      </c>
      <c r="V20" s="31">
        <v>0</v>
      </c>
      <c r="W20" s="39">
        <v>0</v>
      </c>
      <c r="X20" s="28" t="e">
        <v>#DIV/0!</v>
      </c>
      <c r="Y20" s="31">
        <v>0</v>
      </c>
      <c r="Z20" s="32">
        <v>0</v>
      </c>
      <c r="AA20" s="28" t="e">
        <v>#DIV/0!</v>
      </c>
      <c r="AB20" s="31">
        <v>0</v>
      </c>
      <c r="AC20" s="26">
        <v>0</v>
      </c>
      <c r="AD20" s="28" t="e">
        <v>#DIV/0!</v>
      </c>
      <c r="AE20" s="31">
        <v>0</v>
      </c>
      <c r="AF20" s="26">
        <v>0</v>
      </c>
      <c r="AG20" s="28" t="e">
        <v>#DIV/0!</v>
      </c>
      <c r="AH20" s="31">
        <v>0</v>
      </c>
      <c r="AI20" s="26">
        <v>0</v>
      </c>
      <c r="AJ20" s="28">
        <v>0</v>
      </c>
      <c r="AK20" s="31">
        <v>0</v>
      </c>
      <c r="AL20" s="26">
        <v>0</v>
      </c>
      <c r="AM20" s="28" t="e">
        <v>#DIV/0!</v>
      </c>
      <c r="AN20" s="50">
        <v>0</v>
      </c>
      <c r="AO20" s="26">
        <v>0</v>
      </c>
      <c r="AP20" s="46" t="e">
        <v>#DIV/0!</v>
      </c>
      <c r="AQ20" s="21"/>
    </row>
    <row r="21" spans="1:44" ht="34.5" customHeight="1" x14ac:dyDescent="0.25">
      <c r="A21" s="101"/>
      <c r="B21" s="104"/>
      <c r="C21" s="16" t="s">
        <v>24</v>
      </c>
      <c r="D21" s="42">
        <f>G21+J21+M21+P21+S21+V21+Y21+AB21+AE21+AH21+AK21+AN21</f>
        <v>0</v>
      </c>
      <c r="E21" s="42">
        <f>H21+K21+N21+Q21+T21+W21+Z21+AC21+AF21+AI21+AL21+AO21</f>
        <v>0</v>
      </c>
      <c r="F21" s="26" t="e">
        <v>#DIV/0!</v>
      </c>
      <c r="G21" s="31">
        <v>0</v>
      </c>
      <c r="H21" s="26">
        <v>0</v>
      </c>
      <c r="I21" s="28" t="e">
        <v>#DIV/0!</v>
      </c>
      <c r="J21" s="31">
        <v>0</v>
      </c>
      <c r="K21" s="28">
        <v>0</v>
      </c>
      <c r="L21" s="28" t="e">
        <v>#DIV/0!</v>
      </c>
      <c r="M21" s="31">
        <v>0</v>
      </c>
      <c r="N21" s="32">
        <v>0</v>
      </c>
      <c r="O21" s="28" t="e">
        <v>#DIV/0!</v>
      </c>
      <c r="P21" s="31">
        <v>0</v>
      </c>
      <c r="Q21" s="32">
        <v>0</v>
      </c>
      <c r="R21" s="29" t="e">
        <v>#DIV/0!</v>
      </c>
      <c r="S21" s="31">
        <v>0</v>
      </c>
      <c r="T21" s="32">
        <v>0</v>
      </c>
      <c r="U21" s="28" t="e">
        <v>#DIV/0!</v>
      </c>
      <c r="V21" s="31">
        <v>0</v>
      </c>
      <c r="W21" s="39">
        <v>0</v>
      </c>
      <c r="X21" s="28" t="e">
        <v>#DIV/0!</v>
      </c>
      <c r="Y21" s="31">
        <v>0</v>
      </c>
      <c r="Z21" s="32">
        <v>0</v>
      </c>
      <c r="AA21" s="28" t="e">
        <v>#DIV/0!</v>
      </c>
      <c r="AB21" s="31">
        <v>0</v>
      </c>
      <c r="AC21" s="32">
        <v>0</v>
      </c>
      <c r="AD21" s="28" t="e">
        <v>#DIV/0!</v>
      </c>
      <c r="AE21" s="31">
        <v>0</v>
      </c>
      <c r="AF21" s="32">
        <v>0</v>
      </c>
      <c r="AG21" s="28" t="e">
        <v>#DIV/0!</v>
      </c>
      <c r="AH21" s="31">
        <v>0</v>
      </c>
      <c r="AI21" s="32">
        <v>0</v>
      </c>
      <c r="AJ21" s="28" t="e">
        <v>#DIV/0!</v>
      </c>
      <c r="AK21" s="31">
        <v>0</v>
      </c>
      <c r="AL21" s="32">
        <v>0</v>
      </c>
      <c r="AM21" s="28" t="e">
        <v>#DIV/0!</v>
      </c>
      <c r="AN21" s="50">
        <v>0</v>
      </c>
      <c r="AO21" s="32">
        <v>0</v>
      </c>
      <c r="AP21" s="32" t="e">
        <v>#DIV/0!</v>
      </c>
      <c r="AQ21" s="21"/>
    </row>
    <row r="22" spans="1:44" ht="37.5" customHeight="1" x14ac:dyDescent="0.25">
      <c r="A22" s="99" t="s">
        <v>26</v>
      </c>
      <c r="B22" s="112" t="s">
        <v>34</v>
      </c>
      <c r="C22" s="16" t="s">
        <v>20</v>
      </c>
      <c r="D22" s="40">
        <f>G22+J22+M22+P22+S22+V22+Y22+AB22+AE22+AH22+AK22+AN22</f>
        <v>3222.3199999999997</v>
      </c>
      <c r="E22" s="40">
        <f>H22+K22+N22+Q22+T22+W22+Z22+AC22+AF22+AI22+AL22+AO22</f>
        <v>2430.8000000000002</v>
      </c>
      <c r="F22" s="33">
        <f>E22/D22*100</f>
        <v>75.436331587179438</v>
      </c>
      <c r="G22" s="33">
        <f>G23+G24+G25+G26</f>
        <v>17.5</v>
      </c>
      <c r="H22" s="33">
        <f>H23+H24+H25+H26</f>
        <v>0</v>
      </c>
      <c r="I22" s="34" t="e">
        <v>#DIV/0!</v>
      </c>
      <c r="J22" s="33">
        <f>J23+J24+J25+J26</f>
        <v>40.299999999999997</v>
      </c>
      <c r="K22" s="34">
        <f>K23+K24+K25+K26</f>
        <v>10.5</v>
      </c>
      <c r="L22" s="34">
        <f>K22/J22*100</f>
        <v>26.054590570719604</v>
      </c>
      <c r="M22" s="33">
        <f>M23+M24+M25+M26</f>
        <v>956.1</v>
      </c>
      <c r="N22" s="33">
        <f>N23+N24+N25+N26</f>
        <v>227.62</v>
      </c>
      <c r="O22" s="34">
        <f>N22/M22*100</f>
        <v>23.807133145068509</v>
      </c>
      <c r="P22" s="33">
        <f>P23+P24+P25+P26</f>
        <v>102.89999999999999</v>
      </c>
      <c r="Q22" s="33">
        <f>Q23+Q24+Q25+Q26</f>
        <v>358.74</v>
      </c>
      <c r="R22" s="34">
        <f>Q22/P22*100</f>
        <v>348.62973760932948</v>
      </c>
      <c r="S22" s="33">
        <f>S23+S24+S25+S26</f>
        <v>338.40000000000003</v>
      </c>
      <c r="T22" s="33">
        <f>T23+T24+T26</f>
        <v>317.26</v>
      </c>
      <c r="U22" s="34">
        <f>T22/S22*100</f>
        <v>93.752955082742304</v>
      </c>
      <c r="V22" s="33">
        <f>V23+V24+V25+V26</f>
        <v>524.90000000000009</v>
      </c>
      <c r="W22" s="40">
        <f>W23</f>
        <v>110.33</v>
      </c>
      <c r="X22" s="34">
        <f>W22/V22*100</f>
        <v>21.019241760335298</v>
      </c>
      <c r="Y22" s="33">
        <f>Y23+Y24+Y25+Y26</f>
        <v>654.1</v>
      </c>
      <c r="Z22" s="33">
        <f>Z23+Z24+Z25+Z26</f>
        <v>920.29</v>
      </c>
      <c r="AA22" s="34">
        <f>Z22/Y22*100</f>
        <v>140.69561229169852</v>
      </c>
      <c r="AB22" s="33">
        <f>AB23+AB24+AB25+AB26</f>
        <v>68.599999999999994</v>
      </c>
      <c r="AC22" s="33">
        <f>AC23</f>
        <v>486.06</v>
      </c>
      <c r="AD22" s="34">
        <f>AC22/AB22*100</f>
        <v>708.54227405247821</v>
      </c>
      <c r="AE22" s="33">
        <f>AE23+AE24+AE25+AE26</f>
        <v>33.700000000000003</v>
      </c>
      <c r="AF22" s="33">
        <v>0</v>
      </c>
      <c r="AG22" s="34">
        <v>0</v>
      </c>
      <c r="AH22" s="33">
        <f>AH23+AH24+AH25+AH26</f>
        <v>81.02</v>
      </c>
      <c r="AI22" s="33">
        <v>0</v>
      </c>
      <c r="AJ22" s="34">
        <v>0</v>
      </c>
      <c r="AK22" s="33">
        <f>AK23+AK24+AK25+AK26</f>
        <v>118.1</v>
      </c>
      <c r="AL22" s="33">
        <v>0</v>
      </c>
      <c r="AM22" s="34">
        <v>0</v>
      </c>
      <c r="AN22" s="51">
        <f>AN23+AN24+AN25+AN26</f>
        <v>286.70000000000005</v>
      </c>
      <c r="AO22" s="33">
        <v>0</v>
      </c>
      <c r="AP22" s="33" t="e">
        <v>#DIV/0!</v>
      </c>
      <c r="AQ22" s="17"/>
    </row>
    <row r="23" spans="1:44" ht="26.25" customHeight="1" x14ac:dyDescent="0.25">
      <c r="A23" s="100"/>
      <c r="B23" s="113"/>
      <c r="C23" s="16" t="s">
        <v>21</v>
      </c>
      <c r="D23" s="42">
        <f t="shared" ref="D23:E31" si="4">G23+J23+M23+P23+S23+V23+Y23+AB23+AE23+AH23+AK23+AN23</f>
        <v>2587.0199999999995</v>
      </c>
      <c r="E23" s="42">
        <f t="shared" si="4"/>
        <v>2230.8000000000002</v>
      </c>
      <c r="F23" s="26">
        <f>E23/D23*100</f>
        <v>86.230489134216228</v>
      </c>
      <c r="G23" s="31">
        <v>17.5</v>
      </c>
      <c r="H23" s="26">
        <v>0</v>
      </c>
      <c r="I23" s="28" t="e">
        <v>#DIV/0!</v>
      </c>
      <c r="J23" s="31">
        <f>10.5+29.8</f>
        <v>40.299999999999997</v>
      </c>
      <c r="K23" s="28">
        <v>10.5</v>
      </c>
      <c r="L23" s="28">
        <f>K23/J23*100</f>
        <v>26.054590570719604</v>
      </c>
      <c r="M23" s="31">
        <f>483.2+29.8+7.8</f>
        <v>520.79999999999995</v>
      </c>
      <c r="N23" s="57">
        <v>227.62</v>
      </c>
      <c r="O23" s="28">
        <f>N23/M23*100</f>
        <v>43.705837173579113</v>
      </c>
      <c r="P23" s="31">
        <f>73.1+29.8</f>
        <v>102.89999999999999</v>
      </c>
      <c r="Q23" s="26">
        <v>358.74</v>
      </c>
      <c r="R23" s="29">
        <f>Q23/P23*100</f>
        <v>348.62973760932948</v>
      </c>
      <c r="S23" s="31">
        <f>308.6+29.8</f>
        <v>338.40000000000003</v>
      </c>
      <c r="T23" s="26">
        <v>317.26</v>
      </c>
      <c r="U23" s="28">
        <f>T23/S23*100</f>
        <v>93.752955082742304</v>
      </c>
      <c r="V23" s="58">
        <f>395.1+29.8</f>
        <v>424.90000000000003</v>
      </c>
      <c r="W23" s="60">
        <v>110.33</v>
      </c>
      <c r="X23" s="28">
        <f>W23/V23*100</f>
        <v>25.966109672864203</v>
      </c>
      <c r="Y23" s="31">
        <v>554.1</v>
      </c>
      <c r="Z23" s="26">
        <v>720.29</v>
      </c>
      <c r="AA23" s="28">
        <f>Z23/Y23*100</f>
        <v>129.99278108644648</v>
      </c>
      <c r="AB23" s="31">
        <f>38.8+29.8</f>
        <v>68.599999999999994</v>
      </c>
      <c r="AC23" s="26">
        <v>486.06</v>
      </c>
      <c r="AD23" s="28">
        <f>AC23/AB23*100</f>
        <v>708.54227405247821</v>
      </c>
      <c r="AE23" s="31">
        <f>3.9+29.8</f>
        <v>33.700000000000003</v>
      </c>
      <c r="AF23" s="26">
        <v>0</v>
      </c>
      <c r="AG23" s="28">
        <v>0</v>
      </c>
      <c r="AH23" s="31">
        <v>81.02</v>
      </c>
      <c r="AI23" s="26">
        <v>0</v>
      </c>
      <c r="AJ23" s="28">
        <v>0</v>
      </c>
      <c r="AK23" s="31">
        <f>88.3+29.8</f>
        <v>118.1</v>
      </c>
      <c r="AL23" s="26">
        <v>0</v>
      </c>
      <c r="AM23" s="28">
        <v>0</v>
      </c>
      <c r="AN23" s="50">
        <f>256.6+30.1</f>
        <v>286.70000000000005</v>
      </c>
      <c r="AO23" s="26">
        <v>0</v>
      </c>
      <c r="AP23" s="46" t="e">
        <v>#DIV/0!</v>
      </c>
      <c r="AQ23" s="20"/>
    </row>
    <row r="24" spans="1:44" ht="26.25" customHeight="1" x14ac:dyDescent="0.25">
      <c r="A24" s="100"/>
      <c r="B24" s="113"/>
      <c r="C24" s="19" t="s">
        <v>22</v>
      </c>
      <c r="D24" s="42">
        <f t="shared" si="4"/>
        <v>504.7</v>
      </c>
      <c r="E24" s="42">
        <f t="shared" si="4"/>
        <v>200</v>
      </c>
      <c r="F24" s="26">
        <f>E24/D24*100</f>
        <v>39.627501486031306</v>
      </c>
      <c r="G24" s="31">
        <v>0</v>
      </c>
      <c r="H24" s="26">
        <v>0</v>
      </c>
      <c r="I24" s="28" t="e">
        <v>#DIV/0!</v>
      </c>
      <c r="J24" s="31">
        <v>0</v>
      </c>
      <c r="K24" s="28">
        <v>0</v>
      </c>
      <c r="L24" s="28" t="e">
        <v>#DIV/0!</v>
      </c>
      <c r="M24" s="31">
        <v>304.7</v>
      </c>
      <c r="N24" s="57">
        <v>0</v>
      </c>
      <c r="O24" s="28" t="e">
        <v>#DIV/0!</v>
      </c>
      <c r="P24" s="31">
        <v>0</v>
      </c>
      <c r="Q24" s="32">
        <v>0</v>
      </c>
      <c r="R24" s="29" t="e">
        <v>#DIV/0!</v>
      </c>
      <c r="S24" s="31">
        <v>0</v>
      </c>
      <c r="T24" s="32">
        <v>0</v>
      </c>
      <c r="U24" s="28">
        <v>0</v>
      </c>
      <c r="V24" s="31">
        <v>100</v>
      </c>
      <c r="W24" s="39">
        <v>0</v>
      </c>
      <c r="X24" s="28">
        <v>0</v>
      </c>
      <c r="Y24" s="31">
        <v>100</v>
      </c>
      <c r="Z24" s="32">
        <v>200</v>
      </c>
      <c r="AA24" s="28">
        <f>Z24/Y24*100</f>
        <v>200</v>
      </c>
      <c r="AB24" s="31">
        <v>0</v>
      </c>
      <c r="AC24" s="26">
        <v>0</v>
      </c>
      <c r="AD24" s="28" t="e">
        <v>#DIV/0!</v>
      </c>
      <c r="AE24" s="31">
        <v>0</v>
      </c>
      <c r="AF24" s="26">
        <v>0</v>
      </c>
      <c r="AG24" s="28" t="e">
        <v>#DIV/0!</v>
      </c>
      <c r="AH24" s="31">
        <v>0</v>
      </c>
      <c r="AI24" s="26">
        <v>0</v>
      </c>
      <c r="AJ24" s="28" t="e">
        <v>#DIV/0!</v>
      </c>
      <c r="AK24" s="31">
        <v>0</v>
      </c>
      <c r="AL24" s="32">
        <v>0</v>
      </c>
      <c r="AM24" s="28" t="e">
        <v>#DIV/0!</v>
      </c>
      <c r="AN24" s="50">
        <v>0</v>
      </c>
      <c r="AO24" s="32">
        <v>0</v>
      </c>
      <c r="AP24" s="46" t="e">
        <v>#DIV/0!</v>
      </c>
      <c r="AQ24" s="21"/>
    </row>
    <row r="25" spans="1:44" ht="26.25" customHeight="1" x14ac:dyDescent="0.25">
      <c r="A25" s="100"/>
      <c r="B25" s="113"/>
      <c r="C25" s="19" t="s">
        <v>23</v>
      </c>
      <c r="D25" s="42">
        <f t="shared" si="4"/>
        <v>130.6</v>
      </c>
      <c r="E25" s="42">
        <f t="shared" si="4"/>
        <v>0</v>
      </c>
      <c r="F25" s="26">
        <f>E25/D25*100</f>
        <v>0</v>
      </c>
      <c r="G25" s="31">
        <v>0</v>
      </c>
      <c r="H25" s="26">
        <v>0</v>
      </c>
      <c r="I25" s="28" t="e">
        <v>#DIV/0!</v>
      </c>
      <c r="J25" s="31">
        <v>0</v>
      </c>
      <c r="K25" s="28">
        <v>0</v>
      </c>
      <c r="L25" s="28" t="e">
        <v>#DIV/0!</v>
      </c>
      <c r="M25" s="31">
        <v>130.6</v>
      </c>
      <c r="N25" s="57">
        <v>0</v>
      </c>
      <c r="O25" s="28" t="e">
        <v>#DIV/0!</v>
      </c>
      <c r="P25" s="31">
        <v>0</v>
      </c>
      <c r="Q25" s="32">
        <v>0</v>
      </c>
      <c r="R25" s="29" t="e">
        <v>#DIV/0!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 t="e">
        <v>#DIV/0!</v>
      </c>
      <c r="AB25" s="31">
        <v>0</v>
      </c>
      <c r="AC25" s="32">
        <v>0</v>
      </c>
      <c r="AD25" s="28" t="e">
        <v>#DIV/0!</v>
      </c>
      <c r="AE25" s="31">
        <v>0</v>
      </c>
      <c r="AF25" s="32">
        <v>0</v>
      </c>
      <c r="AG25" s="28" t="e">
        <v>#DIV/0!</v>
      </c>
      <c r="AH25" s="31">
        <v>0</v>
      </c>
      <c r="AI25" s="32">
        <v>0</v>
      </c>
      <c r="AJ25" s="28" t="e">
        <v>#DIV/0!</v>
      </c>
      <c r="AK25" s="31">
        <v>0</v>
      </c>
      <c r="AL25" s="32">
        <v>0</v>
      </c>
      <c r="AM25" s="28" t="e">
        <v>#DIV/0!</v>
      </c>
      <c r="AN25" s="50">
        <v>0</v>
      </c>
      <c r="AO25" s="32">
        <v>0</v>
      </c>
      <c r="AP25" s="32" t="e">
        <v>#DIV/0!</v>
      </c>
      <c r="AQ25" s="21"/>
    </row>
    <row r="26" spans="1:44" ht="26.25" customHeight="1" x14ac:dyDescent="0.25">
      <c r="A26" s="101"/>
      <c r="B26" s="114"/>
      <c r="C26" s="16" t="s">
        <v>24</v>
      </c>
      <c r="D26" s="42">
        <f t="shared" si="4"/>
        <v>0</v>
      </c>
      <c r="E26" s="42">
        <f t="shared" si="4"/>
        <v>0</v>
      </c>
      <c r="F26" s="26" t="e">
        <v>#DIV/0!</v>
      </c>
      <c r="G26" s="31">
        <v>0</v>
      </c>
      <c r="H26" s="26">
        <v>0</v>
      </c>
      <c r="I26" s="28" t="e">
        <v>#DIV/0!</v>
      </c>
      <c r="J26" s="31">
        <v>0</v>
      </c>
      <c r="K26" s="28">
        <v>0</v>
      </c>
      <c r="L26" s="28" t="e">
        <v>#DIV/0!</v>
      </c>
      <c r="M26" s="31">
        <v>0</v>
      </c>
      <c r="N26" s="32">
        <v>0</v>
      </c>
      <c r="O26" s="28" t="e">
        <v>#DIV/0!</v>
      </c>
      <c r="P26" s="31">
        <v>0</v>
      </c>
      <c r="Q26" s="32">
        <v>0</v>
      </c>
      <c r="R26" s="29" t="e">
        <v>#DIV/0!</v>
      </c>
      <c r="S26" s="31">
        <v>0</v>
      </c>
      <c r="T26" s="32">
        <v>0</v>
      </c>
      <c r="U26" s="28" t="e">
        <v>#DIV/0!</v>
      </c>
      <c r="V26" s="31">
        <v>0</v>
      </c>
      <c r="W26" s="39">
        <v>0</v>
      </c>
      <c r="X26" s="28" t="e">
        <v>#DIV/0!</v>
      </c>
      <c r="Y26" s="31">
        <v>0</v>
      </c>
      <c r="Z26" s="32">
        <v>0</v>
      </c>
      <c r="AA26" s="28" t="e">
        <v>#DIV/0!</v>
      </c>
      <c r="AB26" s="31">
        <v>0</v>
      </c>
      <c r="AC26" s="32">
        <v>0</v>
      </c>
      <c r="AD26" s="28" t="e">
        <v>#DIV/0!</v>
      </c>
      <c r="AE26" s="31">
        <v>0</v>
      </c>
      <c r="AF26" s="32">
        <v>0</v>
      </c>
      <c r="AG26" s="28" t="e">
        <v>#DIV/0!</v>
      </c>
      <c r="AH26" s="31">
        <v>0</v>
      </c>
      <c r="AI26" s="32">
        <v>0</v>
      </c>
      <c r="AJ26" s="28" t="e">
        <v>#DIV/0!</v>
      </c>
      <c r="AK26" s="31">
        <v>0</v>
      </c>
      <c r="AL26" s="32">
        <v>0</v>
      </c>
      <c r="AM26" s="28" t="e">
        <v>#DIV/0!</v>
      </c>
      <c r="AN26" s="50">
        <v>0</v>
      </c>
      <c r="AO26" s="32">
        <v>0</v>
      </c>
      <c r="AP26" s="32" t="e">
        <v>#DIV/0!</v>
      </c>
      <c r="AQ26" s="21"/>
    </row>
    <row r="27" spans="1:44" ht="39" customHeight="1" x14ac:dyDescent="0.25">
      <c r="A27" s="99" t="s">
        <v>32</v>
      </c>
      <c r="B27" s="112" t="s">
        <v>35</v>
      </c>
      <c r="C27" s="22" t="s">
        <v>20</v>
      </c>
      <c r="D27" s="41">
        <f t="shared" si="4"/>
        <v>413949.74000000005</v>
      </c>
      <c r="E27" s="40">
        <f t="shared" si="4"/>
        <v>285167.65999999997</v>
      </c>
      <c r="F27" s="33">
        <f>E27/D27*100</f>
        <v>68.889440539327296</v>
      </c>
      <c r="G27" s="35">
        <f>G28+G29+G30+G31</f>
        <v>14535.3</v>
      </c>
      <c r="H27" s="35">
        <f>H28+H29+H30+H31</f>
        <v>28193.279999999999</v>
      </c>
      <c r="I27" s="34">
        <f>H27/G27*100</f>
        <v>193.96421126498936</v>
      </c>
      <c r="J27" s="35">
        <f>J28+J29+J30+J31</f>
        <v>35263.9</v>
      </c>
      <c r="K27" s="34">
        <f>K28+K29+K30+K31</f>
        <v>16533.32</v>
      </c>
      <c r="L27" s="34">
        <f>K27/J27*100</f>
        <v>46.884547653549383</v>
      </c>
      <c r="M27" s="35">
        <f>M28+M29+M30+M31</f>
        <v>33023.74</v>
      </c>
      <c r="N27" s="35">
        <f>N28+N29+N30+N31</f>
        <v>33485.800000000003</v>
      </c>
      <c r="O27" s="34">
        <f>N27/M27*100</f>
        <v>101.39917525997966</v>
      </c>
      <c r="P27" s="35">
        <f>P28+P29+P30+P31</f>
        <v>39617.94</v>
      </c>
      <c r="Q27" s="35">
        <f>Q28+Q29+Q30+Q31</f>
        <v>59972.77</v>
      </c>
      <c r="R27" s="34">
        <f>Q27/P27*100</f>
        <v>151.37781015368287</v>
      </c>
      <c r="S27" s="35">
        <f>S28+S29+S30+S31</f>
        <v>46228.74</v>
      </c>
      <c r="T27" s="35">
        <f>T28+T29+T30+T31</f>
        <v>35528.5</v>
      </c>
      <c r="U27" s="34">
        <f>T27/S27*100</f>
        <v>76.853706157684599</v>
      </c>
      <c r="V27" s="35">
        <f>V28+V29+V30+V31</f>
        <v>45503.74</v>
      </c>
      <c r="W27" s="41">
        <f>W28</f>
        <v>49121.59</v>
      </c>
      <c r="X27" s="34">
        <f>W27/V27*100</f>
        <v>107.950665154117</v>
      </c>
      <c r="Y27" s="35">
        <f>Y28+Y29+Y30+Y31</f>
        <v>41559.340000000004</v>
      </c>
      <c r="Z27" s="35">
        <f>Z28+Z29+Z30+Z31</f>
        <v>39692.99</v>
      </c>
      <c r="AA27" s="34">
        <f>Z27/Y27*100</f>
        <v>95.509192398146823</v>
      </c>
      <c r="AB27" s="35">
        <f>AB28+AB29+AB30+AB31</f>
        <v>34003.120000000003</v>
      </c>
      <c r="AC27" s="33">
        <f>AC28</f>
        <v>22639.41</v>
      </c>
      <c r="AD27" s="34">
        <f>AC27/AB27*100</f>
        <v>66.58039027006933</v>
      </c>
      <c r="AE27" s="35">
        <f>AE28+AE29+AE30+AE31</f>
        <v>33405.14</v>
      </c>
      <c r="AF27" s="35">
        <v>0</v>
      </c>
      <c r="AG27" s="34">
        <v>0</v>
      </c>
      <c r="AH27" s="35">
        <f>AH28+AH29+AH30+AH31</f>
        <v>34054.94</v>
      </c>
      <c r="AI27" s="35">
        <v>0</v>
      </c>
      <c r="AJ27" s="34">
        <v>0</v>
      </c>
      <c r="AK27" s="35">
        <f>AK28+AK29+AK30+AK31</f>
        <v>31544.440000000002</v>
      </c>
      <c r="AL27" s="35">
        <v>0</v>
      </c>
      <c r="AM27" s="34">
        <v>0</v>
      </c>
      <c r="AN27" s="52">
        <f>AN28+AN29+AN30+AN31</f>
        <v>25209.4</v>
      </c>
      <c r="AO27" s="35">
        <v>0</v>
      </c>
      <c r="AP27" s="35">
        <v>0</v>
      </c>
      <c r="AQ27" s="17"/>
    </row>
    <row r="28" spans="1:44" ht="26.25" customHeight="1" x14ac:dyDescent="0.25">
      <c r="A28" s="100"/>
      <c r="B28" s="113"/>
      <c r="C28" s="16" t="s">
        <v>21</v>
      </c>
      <c r="D28" s="43">
        <f t="shared" si="4"/>
        <v>413949.74000000005</v>
      </c>
      <c r="E28" s="42">
        <f t="shared" si="4"/>
        <v>285167.65999999997</v>
      </c>
      <c r="F28" s="26">
        <f>E28/D28*100</f>
        <v>68.889440539327296</v>
      </c>
      <c r="G28" s="31">
        <v>14535.3</v>
      </c>
      <c r="H28" s="64">
        <v>28193.279999999999</v>
      </c>
      <c r="I28" s="28">
        <f>H28/G28*100</f>
        <v>193.96421126498936</v>
      </c>
      <c r="J28" s="31">
        <f>35152.9+111</f>
        <v>35263.9</v>
      </c>
      <c r="K28" s="28">
        <v>16533.32</v>
      </c>
      <c r="L28" s="28">
        <f>K28/J28*100</f>
        <v>46.884547653549383</v>
      </c>
      <c r="M28" s="31">
        <f>31614.2+111+1298.54</f>
        <v>33023.74</v>
      </c>
      <c r="N28" s="57">
        <v>33485.800000000003</v>
      </c>
      <c r="O28" s="28">
        <f>N28/M28*100</f>
        <v>101.39917525997966</v>
      </c>
      <c r="P28" s="31">
        <f>38208.4+111+1298.54</f>
        <v>39617.94</v>
      </c>
      <c r="Q28" s="26">
        <v>59972.77</v>
      </c>
      <c r="R28" s="29">
        <f>Q28/P28*100</f>
        <v>151.37781015368287</v>
      </c>
      <c r="S28" s="31">
        <f>44819.2+111+1298.54</f>
        <v>46228.74</v>
      </c>
      <c r="T28" s="26">
        <v>35528.5</v>
      </c>
      <c r="U28" s="28">
        <f>T28/S28*100</f>
        <v>76.853706157684599</v>
      </c>
      <c r="V28" s="58">
        <f>44094.2+111+1298.54</f>
        <v>45503.74</v>
      </c>
      <c r="W28" s="60">
        <v>49121.59</v>
      </c>
      <c r="X28" s="28">
        <f>W28/V28*100</f>
        <v>107.950665154117</v>
      </c>
      <c r="Y28" s="31">
        <f>40149.8+111+1298.54</f>
        <v>41559.340000000004</v>
      </c>
      <c r="Z28" s="26">
        <v>39692.99</v>
      </c>
      <c r="AA28" s="28">
        <f>Z28/Y28*100</f>
        <v>95.509192398146823</v>
      </c>
      <c r="AB28" s="31">
        <v>34003.120000000003</v>
      </c>
      <c r="AC28" s="26">
        <v>22639.41</v>
      </c>
      <c r="AD28" s="28">
        <f>AC28/AB28*100</f>
        <v>66.58039027006933</v>
      </c>
      <c r="AE28" s="31">
        <f>31995.6+111+1298.54</f>
        <v>33405.14</v>
      </c>
      <c r="AF28" s="26">
        <v>0</v>
      </c>
      <c r="AG28" s="28">
        <v>0</v>
      </c>
      <c r="AH28" s="31">
        <f>32462.1+111+1298.54+183.3</f>
        <v>34054.94</v>
      </c>
      <c r="AI28" s="26">
        <v>0</v>
      </c>
      <c r="AJ28" s="28">
        <v>0</v>
      </c>
      <c r="AK28" s="31">
        <f>30134.9+111+1298.54</f>
        <v>31544.440000000002</v>
      </c>
      <c r="AL28" s="26">
        <v>0</v>
      </c>
      <c r="AM28" s="28">
        <v>0</v>
      </c>
      <c r="AN28" s="50">
        <v>25209.4</v>
      </c>
      <c r="AO28" s="26">
        <v>0</v>
      </c>
      <c r="AP28" s="46">
        <v>0</v>
      </c>
      <c r="AQ28" s="20"/>
      <c r="AR28" s="8"/>
    </row>
    <row r="29" spans="1:44" ht="26.25" customHeight="1" x14ac:dyDescent="0.25">
      <c r="A29" s="100"/>
      <c r="B29" s="113"/>
      <c r="C29" s="19" t="s">
        <v>22</v>
      </c>
      <c r="D29" s="43">
        <f t="shared" si="4"/>
        <v>0</v>
      </c>
      <c r="E29" s="42">
        <f t="shared" si="4"/>
        <v>0</v>
      </c>
      <c r="F29" s="26" t="e">
        <v>#DIV/0!</v>
      </c>
      <c r="G29" s="31">
        <v>0</v>
      </c>
      <c r="H29" s="26">
        <v>0</v>
      </c>
      <c r="I29" s="28" t="e">
        <v>#DIV/0!</v>
      </c>
      <c r="J29" s="31">
        <v>0</v>
      </c>
      <c r="K29" s="28">
        <v>0</v>
      </c>
      <c r="L29" s="28" t="e">
        <v>#DIV/0!</v>
      </c>
      <c r="M29" s="31">
        <v>0</v>
      </c>
      <c r="N29" s="57">
        <v>0</v>
      </c>
      <c r="O29" s="28" t="e">
        <v>#DIV/0!</v>
      </c>
      <c r="P29" s="31">
        <v>0</v>
      </c>
      <c r="Q29" s="32">
        <v>0</v>
      </c>
      <c r="R29" s="29" t="e">
        <v>#DIV/0!</v>
      </c>
      <c r="S29" s="31">
        <v>0</v>
      </c>
      <c r="T29" s="32">
        <v>0</v>
      </c>
      <c r="U29" s="28" t="e">
        <v>#DIV/0!</v>
      </c>
      <c r="V29" s="31">
        <v>0</v>
      </c>
      <c r="W29" s="39">
        <v>0</v>
      </c>
      <c r="X29" s="28" t="e">
        <v>#DIV/0!</v>
      </c>
      <c r="Y29" s="31">
        <v>0</v>
      </c>
      <c r="Z29" s="32">
        <v>0</v>
      </c>
      <c r="AA29" s="28" t="e">
        <v>#DIV/0!</v>
      </c>
      <c r="AB29" s="31">
        <v>0</v>
      </c>
      <c r="AC29" s="32">
        <v>0</v>
      </c>
      <c r="AD29" s="28" t="e">
        <v>#DIV/0!</v>
      </c>
      <c r="AE29" s="31">
        <v>0</v>
      </c>
      <c r="AF29" s="32">
        <v>0</v>
      </c>
      <c r="AG29" s="28" t="e">
        <v>#DIV/0!</v>
      </c>
      <c r="AH29" s="31">
        <v>0</v>
      </c>
      <c r="AI29" s="32">
        <v>0</v>
      </c>
      <c r="AJ29" s="28" t="e">
        <v>#DIV/0!</v>
      </c>
      <c r="AK29" s="31">
        <v>0</v>
      </c>
      <c r="AL29" s="32">
        <v>0</v>
      </c>
      <c r="AM29" s="28" t="e">
        <v>#DIV/0!</v>
      </c>
      <c r="AN29" s="50">
        <v>0</v>
      </c>
      <c r="AO29" s="32">
        <v>0</v>
      </c>
      <c r="AP29" s="46" t="e">
        <v>#DIV/0!</v>
      </c>
      <c r="AQ29" s="21"/>
      <c r="AR29" s="8"/>
    </row>
    <row r="30" spans="1:44" ht="26.25" customHeight="1" x14ac:dyDescent="0.25">
      <c r="A30" s="100"/>
      <c r="B30" s="113"/>
      <c r="C30" s="19" t="s">
        <v>23</v>
      </c>
      <c r="D30" s="43">
        <f t="shared" si="4"/>
        <v>0</v>
      </c>
      <c r="E30" s="42">
        <f t="shared" si="4"/>
        <v>0</v>
      </c>
      <c r="F30" s="26" t="e">
        <v>#DIV/0!</v>
      </c>
      <c r="G30" s="31">
        <v>0</v>
      </c>
      <c r="H30" s="26">
        <v>0</v>
      </c>
      <c r="I30" s="28" t="e">
        <v>#DIV/0!</v>
      </c>
      <c r="J30" s="31">
        <v>0</v>
      </c>
      <c r="K30" s="28">
        <v>0</v>
      </c>
      <c r="L30" s="28" t="e">
        <v>#DIV/0!</v>
      </c>
      <c r="M30" s="31">
        <v>0</v>
      </c>
      <c r="N30" s="32">
        <v>0</v>
      </c>
      <c r="O30" s="28" t="e">
        <v>#DIV/0!</v>
      </c>
      <c r="P30" s="31">
        <v>0</v>
      </c>
      <c r="Q30" s="32">
        <v>0</v>
      </c>
      <c r="R30" s="29" t="e">
        <v>#DIV/0!</v>
      </c>
      <c r="S30" s="31">
        <v>0</v>
      </c>
      <c r="T30" s="32">
        <v>0</v>
      </c>
      <c r="U30" s="28" t="e">
        <v>#DIV/0!</v>
      </c>
      <c r="V30" s="31">
        <v>0</v>
      </c>
      <c r="W30" s="39">
        <v>0</v>
      </c>
      <c r="X30" s="28" t="e">
        <v>#DIV/0!</v>
      </c>
      <c r="Y30" s="31">
        <v>0</v>
      </c>
      <c r="Z30" s="32">
        <v>0</v>
      </c>
      <c r="AA30" s="28" t="e">
        <v>#DIV/0!</v>
      </c>
      <c r="AB30" s="31">
        <v>0</v>
      </c>
      <c r="AC30" s="53">
        <v>0</v>
      </c>
      <c r="AD30" s="28" t="e">
        <v>#DIV/0!</v>
      </c>
      <c r="AE30" s="31">
        <v>0</v>
      </c>
      <c r="AF30" s="32">
        <v>0</v>
      </c>
      <c r="AG30" s="28" t="e">
        <v>#DIV/0!</v>
      </c>
      <c r="AH30" s="31">
        <v>0</v>
      </c>
      <c r="AI30" s="32">
        <v>0</v>
      </c>
      <c r="AJ30" s="28" t="e">
        <v>#DIV/0!</v>
      </c>
      <c r="AK30" s="31">
        <v>0</v>
      </c>
      <c r="AL30" s="32">
        <v>0</v>
      </c>
      <c r="AM30" s="28" t="e">
        <v>#DIV/0!</v>
      </c>
      <c r="AN30" s="50">
        <v>0</v>
      </c>
      <c r="AO30" s="32">
        <v>0</v>
      </c>
      <c r="AP30" s="32" t="e">
        <v>#DIV/0!</v>
      </c>
      <c r="AQ30" s="21"/>
      <c r="AR30" s="8"/>
    </row>
    <row r="31" spans="1:44" ht="26.25" customHeight="1" x14ac:dyDescent="0.25">
      <c r="A31" s="101"/>
      <c r="B31" s="114"/>
      <c r="C31" s="16" t="s">
        <v>24</v>
      </c>
      <c r="D31" s="43">
        <f t="shared" si="4"/>
        <v>0</v>
      </c>
      <c r="E31" s="42">
        <f t="shared" si="4"/>
        <v>0</v>
      </c>
      <c r="F31" s="26" t="e">
        <v>#DIV/0!</v>
      </c>
      <c r="G31" s="31">
        <v>0</v>
      </c>
      <c r="H31" s="26">
        <v>0</v>
      </c>
      <c r="I31" s="28" t="e">
        <v>#DIV/0!</v>
      </c>
      <c r="J31" s="31">
        <v>0</v>
      </c>
      <c r="K31" s="28">
        <v>0</v>
      </c>
      <c r="L31" s="28" t="e">
        <v>#DIV/0!</v>
      </c>
      <c r="M31" s="31">
        <v>0</v>
      </c>
      <c r="N31" s="32">
        <v>0</v>
      </c>
      <c r="O31" s="28" t="e">
        <v>#DIV/0!</v>
      </c>
      <c r="P31" s="31">
        <v>0</v>
      </c>
      <c r="Q31" s="32">
        <v>0</v>
      </c>
      <c r="R31" s="29" t="e">
        <v>#DIV/0!</v>
      </c>
      <c r="S31" s="31">
        <v>0</v>
      </c>
      <c r="T31" s="32">
        <v>0</v>
      </c>
      <c r="U31" s="28" t="e">
        <v>#DIV/0!</v>
      </c>
      <c r="V31" s="31">
        <v>0</v>
      </c>
      <c r="W31" s="39">
        <v>0</v>
      </c>
      <c r="X31" s="28" t="e">
        <v>#DIV/0!</v>
      </c>
      <c r="Y31" s="31">
        <v>0</v>
      </c>
      <c r="Z31" s="32">
        <v>0</v>
      </c>
      <c r="AA31" s="28" t="e">
        <v>#DIV/0!</v>
      </c>
      <c r="AB31" s="50">
        <v>0</v>
      </c>
      <c r="AC31" s="32">
        <v>0</v>
      </c>
      <c r="AD31" s="28" t="e">
        <v>#DIV/0!</v>
      </c>
      <c r="AE31" s="31">
        <v>0</v>
      </c>
      <c r="AF31" s="32">
        <v>0</v>
      </c>
      <c r="AG31" s="28" t="e">
        <v>#DIV/0!</v>
      </c>
      <c r="AH31" s="31">
        <v>0</v>
      </c>
      <c r="AI31" s="32">
        <v>0</v>
      </c>
      <c r="AJ31" s="28" t="e">
        <v>#DIV/0!</v>
      </c>
      <c r="AK31" s="31">
        <v>0</v>
      </c>
      <c r="AL31" s="32">
        <v>0</v>
      </c>
      <c r="AM31" s="28" t="e">
        <v>#DIV/0!</v>
      </c>
      <c r="AN31" s="31">
        <v>0</v>
      </c>
      <c r="AO31" s="32">
        <v>0</v>
      </c>
      <c r="AP31" s="32" t="e">
        <v>#DIV/0!</v>
      </c>
      <c r="AQ31" s="21"/>
      <c r="AR31" s="8"/>
    </row>
    <row r="32" spans="1:44" x14ac:dyDescent="0.25">
      <c r="A32" s="3"/>
      <c r="B32" s="66"/>
      <c r="C32" s="67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</row>
    <row r="33" spans="1:44" ht="15" customHeight="1" x14ac:dyDescent="0.25">
      <c r="A33" s="3"/>
      <c r="B33" s="115" t="s">
        <v>42</v>
      </c>
      <c r="C33" s="115"/>
      <c r="D33" s="115"/>
      <c r="E33" s="115"/>
      <c r="F33" s="115"/>
      <c r="G33" s="115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</row>
    <row r="34" spans="1:44" ht="32.25" customHeight="1" x14ac:dyDescent="0.25">
      <c r="A34" s="3"/>
      <c r="B34" s="116" t="s">
        <v>40</v>
      </c>
      <c r="C34" s="116"/>
      <c r="D34" s="116"/>
      <c r="E34" s="116"/>
      <c r="F34" s="116"/>
      <c r="G34" s="116"/>
      <c r="H34" s="11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</row>
    <row r="35" spans="1:44" x14ac:dyDescent="0.25">
      <c r="B35" t="s">
        <v>27</v>
      </c>
      <c r="G35" s="36"/>
      <c r="M35" s="36"/>
    </row>
    <row r="36" spans="1:44" ht="15" customHeight="1" x14ac:dyDescent="0.25"/>
  </sheetData>
  <mergeCells count="34">
    <mergeCell ref="B33:G33"/>
    <mergeCell ref="B34:H34"/>
    <mergeCell ref="AH10:AJ10"/>
    <mergeCell ref="A22:A26"/>
    <mergeCell ref="B22:B26"/>
    <mergeCell ref="A27:A31"/>
    <mergeCell ref="B27:B31"/>
    <mergeCell ref="A17:A21"/>
    <mergeCell ref="B17:B21"/>
    <mergeCell ref="AE10:AG10"/>
    <mergeCell ref="A12:A16"/>
    <mergeCell ref="B12:B16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AK10:AM10"/>
    <mergeCell ref="AN10:AP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2021-09-08T05:02:06Z</dcterms:modified>
</cp:coreProperties>
</file>