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 activeTab="10"/>
  </bookViews>
  <sheets>
    <sheet name="янв " sheetId="2" r:id="rId1"/>
    <sheet name="янв  (1)" sheetId="3" r:id="rId2"/>
    <sheet name="фев" sheetId="4" r:id="rId3"/>
    <sheet name="март" sheetId="6" r:id="rId4"/>
    <sheet name="март (3)" sheetId="7" r:id="rId5"/>
    <sheet name="апр" sheetId="9" r:id="rId6"/>
    <sheet name="апр (4)" sheetId="10" r:id="rId7"/>
    <sheet name="май" sheetId="12" r:id="rId8"/>
    <sheet name="май (5)" sheetId="15" r:id="rId9"/>
    <sheet name="июнь" sheetId="16" r:id="rId10"/>
    <sheet name="июль" sheetId="17" r:id="rId11"/>
  </sheets>
  <definedNames>
    <definedName name="_xlnm.Print_Area" localSheetId="5">апр!$A$1:$BE$43</definedName>
    <definedName name="_xlnm.Print_Area" localSheetId="6">'апр (4)'!$A$1:$AW$43</definedName>
    <definedName name="_xlnm.Print_Area" localSheetId="10">июль!$A$1:$BE$43</definedName>
    <definedName name="_xlnm.Print_Area" localSheetId="9">июнь!$A$1:$BE$43</definedName>
    <definedName name="_xlnm.Print_Area" localSheetId="7">май!$A$1:$BE$43</definedName>
    <definedName name="_xlnm.Print_Area" localSheetId="8">'май (5)'!$A$1:$AW$43</definedName>
    <definedName name="_xlnm.Print_Area" localSheetId="3">март!$A$1:$BE$35</definedName>
    <definedName name="_xlnm.Print_Area" localSheetId="4">'март (3)'!$A$1:$AW$45</definedName>
    <definedName name="_xlnm.Print_Area" localSheetId="2">фев!$A$1:$BE$35</definedName>
    <definedName name="_xlnm.Print_Area" localSheetId="0">'янв '!$A$1:$BE$35</definedName>
    <definedName name="_xlnm.Print_Area" localSheetId="1">'янв  (1)'!$A$1:$AV$45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9" i="17" l="1"/>
  <c r="E31" i="17" l="1"/>
  <c r="AW31" i="17" s="1"/>
  <c r="D31" i="17"/>
  <c r="AU31" i="17" s="1"/>
  <c r="E30" i="17"/>
  <c r="AW30" i="17" s="1"/>
  <c r="D30" i="17"/>
  <c r="AU30" i="17" s="1"/>
  <c r="AM29" i="17"/>
  <c r="AG29" i="17"/>
  <c r="AD29" i="17"/>
  <c r="AA29" i="17"/>
  <c r="X29" i="17"/>
  <c r="U29" i="17"/>
  <c r="R29" i="17"/>
  <c r="O29" i="17"/>
  <c r="L29" i="17"/>
  <c r="I29" i="17"/>
  <c r="E29" i="17"/>
  <c r="D29" i="17"/>
  <c r="AU29" i="17" s="1"/>
  <c r="AN28" i="17"/>
  <c r="AK28" i="17"/>
  <c r="AH28" i="17"/>
  <c r="AE28" i="17"/>
  <c r="AB28" i="17"/>
  <c r="Y28" i="17"/>
  <c r="U28" i="17"/>
  <c r="S28" i="17"/>
  <c r="R28" i="17"/>
  <c r="P28" i="17"/>
  <c r="J28" i="17"/>
  <c r="D28" i="17" s="1"/>
  <c r="AU28" i="17" s="1"/>
  <c r="I28" i="17"/>
  <c r="E28" i="17"/>
  <c r="AW28" i="17" s="1"/>
  <c r="AV27" i="17"/>
  <c r="AT27" i="17"/>
  <c r="AN27" i="17"/>
  <c r="AL27" i="17"/>
  <c r="AM27" i="17" s="1"/>
  <c r="AK27" i="17"/>
  <c r="AI27" i="17"/>
  <c r="AH27" i="17"/>
  <c r="AJ27" i="17" s="1"/>
  <c r="AJ12" i="17" s="1"/>
  <c r="AF27" i="17"/>
  <c r="AG27" i="17" s="1"/>
  <c r="AE27" i="17"/>
  <c r="AC27" i="17"/>
  <c r="AB27" i="17"/>
  <c r="AD27" i="17" s="1"/>
  <c r="Z27" i="17"/>
  <c r="Z12" i="17" s="1"/>
  <c r="W27" i="17"/>
  <c r="V27" i="17"/>
  <c r="T27" i="17"/>
  <c r="U27" i="17" s="1"/>
  <c r="S27" i="17"/>
  <c r="Q27" i="17"/>
  <c r="P27" i="17"/>
  <c r="R27" i="17" s="1"/>
  <c r="N27" i="17"/>
  <c r="O27" i="17" s="1"/>
  <c r="M27" i="17"/>
  <c r="K27" i="17"/>
  <c r="H27" i="17"/>
  <c r="G27" i="17"/>
  <c r="E26" i="17"/>
  <c r="AW26" i="17" s="1"/>
  <c r="D26" i="17"/>
  <c r="AU26" i="17" s="1"/>
  <c r="E25" i="17"/>
  <c r="AW25" i="17" s="1"/>
  <c r="D25" i="17"/>
  <c r="AU25" i="17" s="1"/>
  <c r="E24" i="17"/>
  <c r="AW24" i="17" s="1"/>
  <c r="D24" i="17"/>
  <c r="AU24" i="17" s="1"/>
  <c r="AN23" i="17"/>
  <c r="AM23" i="17"/>
  <c r="AK23" i="17"/>
  <c r="AJ23" i="17"/>
  <c r="AH23" i="17"/>
  <c r="AG23" i="17"/>
  <c r="AG13" i="17" s="1"/>
  <c r="AE23" i="17"/>
  <c r="AD23" i="17"/>
  <c r="AB23" i="17"/>
  <c r="Y23" i="17"/>
  <c r="D23" i="17"/>
  <c r="S23" i="17"/>
  <c r="U23" i="17" s="1"/>
  <c r="R23" i="17"/>
  <c r="E23" i="17"/>
  <c r="AW23" i="17" s="1"/>
  <c r="AV22" i="17"/>
  <c r="AT22" i="17"/>
  <c r="AN22" i="17"/>
  <c r="AL22" i="17"/>
  <c r="AK22" i="17"/>
  <c r="AM22" i="17" s="1"/>
  <c r="AI22" i="17"/>
  <c r="AJ22" i="17" s="1"/>
  <c r="AH22" i="17"/>
  <c r="AF22" i="17"/>
  <c r="AE22" i="17"/>
  <c r="AG22" i="17" s="1"/>
  <c r="AC22" i="17"/>
  <c r="AD22" i="17" s="1"/>
  <c r="AB22" i="17"/>
  <c r="Z22" i="17"/>
  <c r="Y22" i="17"/>
  <c r="W22" i="17"/>
  <c r="T22" i="17"/>
  <c r="S22" i="17"/>
  <c r="U22" i="17" s="1"/>
  <c r="Q22" i="17"/>
  <c r="R22" i="17" s="1"/>
  <c r="P22" i="17"/>
  <c r="N22" i="17"/>
  <c r="M22" i="17"/>
  <c r="O22" i="17" s="1"/>
  <c r="O12" i="17" s="1"/>
  <c r="K22" i="17"/>
  <c r="J22" i="17"/>
  <c r="H22" i="17"/>
  <c r="G22" i="17"/>
  <c r="AW21" i="17"/>
  <c r="E21" i="17"/>
  <c r="D21" i="17"/>
  <c r="AU21" i="17" s="1"/>
  <c r="E20" i="17"/>
  <c r="AW20" i="17" s="1"/>
  <c r="D20" i="17"/>
  <c r="AU20" i="17" s="1"/>
  <c r="AN19" i="17"/>
  <c r="AK19" i="17"/>
  <c r="AH19" i="17"/>
  <c r="AH17" i="17" s="1"/>
  <c r="AE19" i="17"/>
  <c r="AE17" i="17" s="1"/>
  <c r="AB19" i="17"/>
  <c r="AD19" i="17" s="1"/>
  <c r="Y19" i="17"/>
  <c r="Y17" i="17" s="1"/>
  <c r="X19" i="17"/>
  <c r="S19" i="17"/>
  <c r="D19" i="17" s="1"/>
  <c r="P19" i="17"/>
  <c r="O19" i="17"/>
  <c r="L19" i="17"/>
  <c r="I19" i="17"/>
  <c r="E19" i="17"/>
  <c r="AW19" i="17" s="1"/>
  <c r="AK18" i="17"/>
  <c r="AH18" i="17"/>
  <c r="AE18" i="17"/>
  <c r="AE13" i="17" s="1"/>
  <c r="AB18" i="17"/>
  <c r="Y18" i="17"/>
  <c r="S18" i="17"/>
  <c r="R18" i="17"/>
  <c r="O18" i="17"/>
  <c r="J18" i="17"/>
  <c r="I18" i="17"/>
  <c r="E18" i="17"/>
  <c r="AW18" i="17" s="1"/>
  <c r="D18" i="17"/>
  <c r="AU18" i="17" s="1"/>
  <c r="AV17" i="17"/>
  <c r="AT17" i="17"/>
  <c r="AL17" i="17"/>
  <c r="AK17" i="17"/>
  <c r="AM17" i="17" s="1"/>
  <c r="AM12" i="17" s="1"/>
  <c r="AI17" i="17"/>
  <c r="AJ17" i="17" s="1"/>
  <c r="AF17" i="17"/>
  <c r="AC17" i="17"/>
  <c r="Z17" i="17"/>
  <c r="W17" i="17"/>
  <c r="T17" i="17"/>
  <c r="Q17" i="17"/>
  <c r="O17" i="17"/>
  <c r="N17" i="17"/>
  <c r="M17" i="17"/>
  <c r="K17" i="17"/>
  <c r="I17" i="17"/>
  <c r="H17" i="17"/>
  <c r="G17" i="17"/>
  <c r="E17" i="17"/>
  <c r="AV16" i="17"/>
  <c r="AU16" i="17"/>
  <c r="AT16" i="17"/>
  <c r="N16" i="17"/>
  <c r="H16" i="17"/>
  <c r="E16" i="17"/>
  <c r="AW16" i="17" s="1"/>
  <c r="D16" i="17"/>
  <c r="AV15" i="17"/>
  <c r="AT15" i="17"/>
  <c r="AN15" i="17"/>
  <c r="AK15" i="17"/>
  <c r="AH15" i="17"/>
  <c r="AE15" i="17"/>
  <c r="AB15" i="17"/>
  <c r="Y15" i="17"/>
  <c r="V15" i="17"/>
  <c r="S15" i="17"/>
  <c r="Q15" i="17"/>
  <c r="P15" i="17"/>
  <c r="N15" i="17"/>
  <c r="E15" i="17" s="1"/>
  <c r="AW15" i="17" s="1"/>
  <c r="M15" i="17"/>
  <c r="J15" i="17"/>
  <c r="H15" i="17"/>
  <c r="G15" i="17"/>
  <c r="D15" i="17" s="1"/>
  <c r="AU15" i="17" s="1"/>
  <c r="AV14" i="17"/>
  <c r="AT14" i="17"/>
  <c r="AM14" i="17"/>
  <c r="AK14" i="17"/>
  <c r="AI14" i="17"/>
  <c r="AH14" i="17"/>
  <c r="AJ14" i="17" s="1"/>
  <c r="AF14" i="17"/>
  <c r="AC14" i="17"/>
  <c r="AB14" i="17"/>
  <c r="AD14" i="17" s="1"/>
  <c r="Z14" i="17"/>
  <c r="W14" i="17"/>
  <c r="V14" i="17"/>
  <c r="X14" i="17" s="1"/>
  <c r="T14" i="17"/>
  <c r="Q14" i="17"/>
  <c r="P14" i="17"/>
  <c r="R14" i="17" s="1"/>
  <c r="N14" i="17"/>
  <c r="O14" i="17" s="1"/>
  <c r="M14" i="17"/>
  <c r="K14" i="17"/>
  <c r="J14" i="17"/>
  <c r="L14" i="17" s="1"/>
  <c r="H14" i="17"/>
  <c r="G14" i="17"/>
  <c r="AV13" i="17"/>
  <c r="AT13" i="17"/>
  <c r="AO13" i="17"/>
  <c r="AN13" i="17"/>
  <c r="AL13" i="17"/>
  <c r="AJ13" i="17"/>
  <c r="AI13" i="17"/>
  <c r="AH13" i="17"/>
  <c r="AF13" i="17"/>
  <c r="AC13" i="17"/>
  <c r="AB13" i="17"/>
  <c r="Z13" i="17"/>
  <c r="W13" i="17"/>
  <c r="W12" i="17" s="1"/>
  <c r="V13" i="17"/>
  <c r="T13" i="17"/>
  <c r="R13" i="17"/>
  <c r="Q13" i="17"/>
  <c r="P13" i="17"/>
  <c r="N13" i="17"/>
  <c r="M13" i="17"/>
  <c r="K13" i="17"/>
  <c r="J13" i="17"/>
  <c r="H13" i="17"/>
  <c r="I13" i="17" s="1"/>
  <c r="G13" i="17"/>
  <c r="AV12" i="17"/>
  <c r="AT12" i="17"/>
  <c r="AP12" i="17"/>
  <c r="AO12" i="17"/>
  <c r="AL12" i="17"/>
  <c r="AK12" i="17"/>
  <c r="AI12" i="17"/>
  <c r="AH12" i="17"/>
  <c r="AF12" i="17"/>
  <c r="AC12" i="17"/>
  <c r="T12" i="17"/>
  <c r="Q12" i="17"/>
  <c r="N12" i="17"/>
  <c r="M12" i="17"/>
  <c r="K12" i="17"/>
  <c r="H12" i="17"/>
  <c r="G12" i="17"/>
  <c r="Y23" i="16"/>
  <c r="Y18" i="16"/>
  <c r="AA22" i="17" l="1"/>
  <c r="E12" i="17"/>
  <c r="X27" i="17"/>
  <c r="AW12" i="17"/>
  <c r="AU23" i="17"/>
  <c r="F23" i="17"/>
  <c r="AU19" i="17"/>
  <c r="F19" i="17"/>
  <c r="AA17" i="17"/>
  <c r="AE12" i="17"/>
  <c r="AG17" i="17"/>
  <c r="AG12" i="17" s="1"/>
  <c r="I12" i="17"/>
  <c r="E13" i="17"/>
  <c r="I14" i="17"/>
  <c r="E14" i="17"/>
  <c r="AW14" i="17" s="1"/>
  <c r="S17" i="17"/>
  <c r="AW17" i="17"/>
  <c r="U18" i="17"/>
  <c r="U13" i="17" s="1"/>
  <c r="S13" i="17"/>
  <c r="AA18" i="17"/>
  <c r="Y13" i="17"/>
  <c r="AM18" i="17"/>
  <c r="AM13" i="17" s="1"/>
  <c r="AK13" i="17"/>
  <c r="R19" i="17"/>
  <c r="P17" i="17"/>
  <c r="P12" i="17" s="1"/>
  <c r="AN17" i="17"/>
  <c r="AN12" i="17" s="1"/>
  <c r="AN14" i="17"/>
  <c r="E22" i="17"/>
  <c r="AW22" i="17" s="1"/>
  <c r="J27" i="17"/>
  <c r="R17" i="17"/>
  <c r="R12" i="17" s="1"/>
  <c r="F18" i="17"/>
  <c r="F17" i="17" s="1"/>
  <c r="L18" i="17"/>
  <c r="J17" i="17"/>
  <c r="J12" i="17" s="1"/>
  <c r="L12" i="17" s="1"/>
  <c r="X18" i="17"/>
  <c r="V17" i="17"/>
  <c r="AD18" i="17"/>
  <c r="AD13" i="17" s="1"/>
  <c r="AB17" i="17"/>
  <c r="AB12" i="17" s="1"/>
  <c r="U19" i="17"/>
  <c r="S14" i="17"/>
  <c r="AA19" i="17"/>
  <c r="Y14" i="17"/>
  <c r="AA14" i="17" s="1"/>
  <c r="AG19" i="17"/>
  <c r="AE14" i="17"/>
  <c r="AG14" i="17" s="1"/>
  <c r="X23" i="17"/>
  <c r="V22" i="17"/>
  <c r="D22" i="17" s="1"/>
  <c r="AU22" i="17" s="1"/>
  <c r="I27" i="17"/>
  <c r="E27" i="17"/>
  <c r="AA28" i="17"/>
  <c r="Y27" i="17"/>
  <c r="Y12" i="17" s="1"/>
  <c r="AW29" i="17"/>
  <c r="F29" i="17"/>
  <c r="E31" i="16"/>
  <c r="AW31" i="16" s="1"/>
  <c r="D31" i="16"/>
  <c r="AU31" i="16" s="1"/>
  <c r="E30" i="16"/>
  <c r="AW30" i="16" s="1"/>
  <c r="D30" i="16"/>
  <c r="AU30" i="16" s="1"/>
  <c r="AM29" i="16"/>
  <c r="AG29" i="16"/>
  <c r="AD29" i="16"/>
  <c r="AA29" i="16"/>
  <c r="X29" i="16"/>
  <c r="U29" i="16"/>
  <c r="R29" i="16"/>
  <c r="O29" i="16"/>
  <c r="L29" i="16"/>
  <c r="I29" i="16"/>
  <c r="E29" i="16"/>
  <c r="AW29" i="16" s="1"/>
  <c r="D29" i="16"/>
  <c r="AU29" i="16" s="1"/>
  <c r="AN28" i="16"/>
  <c r="AK28" i="16"/>
  <c r="AH28" i="16"/>
  <c r="AE28" i="16"/>
  <c r="AB28" i="16"/>
  <c r="AA28" i="16"/>
  <c r="Y28" i="16"/>
  <c r="V28" i="16"/>
  <c r="S28" i="16"/>
  <c r="U28" i="16" s="1"/>
  <c r="P28" i="16"/>
  <c r="R28" i="16" s="1"/>
  <c r="R13" i="16" s="1"/>
  <c r="J28" i="16"/>
  <c r="I28" i="16"/>
  <c r="E28" i="16"/>
  <c r="AW28" i="16" s="1"/>
  <c r="D28" i="16"/>
  <c r="AU28" i="16" s="1"/>
  <c r="AV27" i="16"/>
  <c r="AT27" i="16"/>
  <c r="AU27" i="16" s="1"/>
  <c r="AN27" i="16"/>
  <c r="AL27" i="16"/>
  <c r="AK27" i="16"/>
  <c r="AM27" i="16" s="1"/>
  <c r="AI27" i="16"/>
  <c r="AJ27" i="16" s="1"/>
  <c r="AH27" i="16"/>
  <c r="AF27" i="16"/>
  <c r="AE27" i="16"/>
  <c r="AG27" i="16" s="1"/>
  <c r="AC27" i="16"/>
  <c r="AD27" i="16" s="1"/>
  <c r="AB27" i="16"/>
  <c r="Z27" i="16"/>
  <c r="AA27" i="16" s="1"/>
  <c r="Y27" i="16"/>
  <c r="W27" i="16"/>
  <c r="X27" i="16" s="1"/>
  <c r="V27" i="16"/>
  <c r="T27" i="16"/>
  <c r="U27" i="16" s="1"/>
  <c r="S27" i="16"/>
  <c r="Q27" i="16"/>
  <c r="P27" i="16"/>
  <c r="R27" i="16" s="1"/>
  <c r="N27" i="16"/>
  <c r="O27" i="16" s="1"/>
  <c r="M27" i="16"/>
  <c r="K27" i="16"/>
  <c r="L27" i="16" s="1"/>
  <c r="J27" i="16"/>
  <c r="H27" i="16"/>
  <c r="I27" i="16" s="1"/>
  <c r="G27" i="16"/>
  <c r="D27" i="16"/>
  <c r="E26" i="16"/>
  <c r="AW26" i="16" s="1"/>
  <c r="D26" i="16"/>
  <c r="AU26" i="16" s="1"/>
  <c r="E25" i="16"/>
  <c r="AW25" i="16" s="1"/>
  <c r="D25" i="16"/>
  <c r="AU25" i="16" s="1"/>
  <c r="E24" i="16"/>
  <c r="AW24" i="16" s="1"/>
  <c r="D24" i="16"/>
  <c r="AU24" i="16" s="1"/>
  <c r="AN23" i="16"/>
  <c r="AK23" i="16"/>
  <c r="AM23" i="16" s="1"/>
  <c r="AJ23" i="16"/>
  <c r="AH23" i="16"/>
  <c r="AG23" i="16"/>
  <c r="AE23" i="16"/>
  <c r="AD23" i="16"/>
  <c r="AB23" i="16"/>
  <c r="V23" i="16"/>
  <c r="X23" i="16" s="1"/>
  <c r="S23" i="16"/>
  <c r="U23" i="16" s="1"/>
  <c r="U13" i="16" s="1"/>
  <c r="R23" i="16"/>
  <c r="E23" i="16"/>
  <c r="AW23" i="16" s="1"/>
  <c r="D23" i="16"/>
  <c r="AU23" i="16" s="1"/>
  <c r="AV22" i="16"/>
  <c r="AT22" i="16"/>
  <c r="AN22" i="16"/>
  <c r="AL22" i="16"/>
  <c r="AK22" i="16"/>
  <c r="AM22" i="16" s="1"/>
  <c r="AI22" i="16"/>
  <c r="AJ22" i="16" s="1"/>
  <c r="AH22" i="16"/>
  <c r="AF22" i="16"/>
  <c r="AE22" i="16"/>
  <c r="AG22" i="16" s="1"/>
  <c r="AC22" i="16"/>
  <c r="AD22" i="16" s="1"/>
  <c r="AB22" i="16"/>
  <c r="Z22" i="16"/>
  <c r="Y22" i="16"/>
  <c r="AA22" i="16" s="1"/>
  <c r="W22" i="16"/>
  <c r="X22" i="16" s="1"/>
  <c r="V22" i="16"/>
  <c r="T22" i="16"/>
  <c r="S22" i="16"/>
  <c r="U22" i="16" s="1"/>
  <c r="Q22" i="16"/>
  <c r="R22" i="16" s="1"/>
  <c r="P22" i="16"/>
  <c r="N22" i="16"/>
  <c r="O22" i="16" s="1"/>
  <c r="O12" i="16" s="1"/>
  <c r="M22" i="16"/>
  <c r="K22" i="16"/>
  <c r="J22" i="16"/>
  <c r="H22" i="16"/>
  <c r="E22" i="16" s="1"/>
  <c r="G22" i="16"/>
  <c r="E21" i="16"/>
  <c r="AW21" i="16" s="1"/>
  <c r="D21" i="16"/>
  <c r="AU21" i="16" s="1"/>
  <c r="E20" i="16"/>
  <c r="AW20" i="16" s="1"/>
  <c r="D20" i="16"/>
  <c r="AU20" i="16" s="1"/>
  <c r="AN19" i="16"/>
  <c r="AK19" i="16"/>
  <c r="AH19" i="16"/>
  <c r="AE19" i="16"/>
  <c r="AG19" i="16" s="1"/>
  <c r="AB19" i="16"/>
  <c r="AD19" i="16" s="1"/>
  <c r="Y19" i="16"/>
  <c r="AA19" i="16" s="1"/>
  <c r="V19" i="16"/>
  <c r="X19" i="16" s="1"/>
  <c r="S19" i="16"/>
  <c r="U19" i="16" s="1"/>
  <c r="P19" i="16"/>
  <c r="R19" i="16" s="1"/>
  <c r="O19" i="16"/>
  <c r="L19" i="16"/>
  <c r="I19" i="16"/>
  <c r="E19" i="16"/>
  <c r="AW19" i="16" s="1"/>
  <c r="D19" i="16"/>
  <c r="AU19" i="16" s="1"/>
  <c r="AK18" i="16"/>
  <c r="AM18" i="16" s="1"/>
  <c r="AM13" i="16" s="1"/>
  <c r="AH18" i="16"/>
  <c r="AE18" i="16"/>
  <c r="AD18" i="16"/>
  <c r="AB18" i="16"/>
  <c r="AA18" i="16"/>
  <c r="X18" i="16"/>
  <c r="V18" i="16"/>
  <c r="U18" i="16"/>
  <c r="S18" i="16"/>
  <c r="R18" i="16"/>
  <c r="O18" i="16"/>
  <c r="L18" i="16"/>
  <c r="J18" i="16"/>
  <c r="I18" i="16"/>
  <c r="E18" i="16"/>
  <c r="AW18" i="16" s="1"/>
  <c r="D18" i="16"/>
  <c r="AU18" i="16" s="1"/>
  <c r="AV17" i="16"/>
  <c r="AT17" i="16"/>
  <c r="AN17" i="16"/>
  <c r="AL17" i="16"/>
  <c r="AM17" i="16" s="1"/>
  <c r="AM12" i="16" s="1"/>
  <c r="AK17" i="16"/>
  <c r="AI17" i="16"/>
  <c r="AJ17" i="16" s="1"/>
  <c r="AJ12" i="16" s="1"/>
  <c r="AH17" i="16"/>
  <c r="AF17" i="16"/>
  <c r="AE17" i="16"/>
  <c r="AG17" i="16" s="1"/>
  <c r="AG12" i="16" s="1"/>
  <c r="AC17" i="16"/>
  <c r="AD17" i="16" s="1"/>
  <c r="AD12" i="16" s="1"/>
  <c r="AB17" i="16"/>
  <c r="Z17" i="16"/>
  <c r="Y17" i="16"/>
  <c r="AA17" i="16" s="1"/>
  <c r="W17" i="16"/>
  <c r="X17" i="16" s="1"/>
  <c r="X12" i="16" s="1"/>
  <c r="V17" i="16"/>
  <c r="T17" i="16"/>
  <c r="S17" i="16"/>
  <c r="U17" i="16" s="1"/>
  <c r="U12" i="16" s="1"/>
  <c r="Q17" i="16"/>
  <c r="R17" i="16" s="1"/>
  <c r="R12" i="16" s="1"/>
  <c r="P17" i="16"/>
  <c r="O17" i="16"/>
  <c r="N17" i="16"/>
  <c r="M17" i="16"/>
  <c r="L17" i="16"/>
  <c r="K17" i="16"/>
  <c r="J17" i="16"/>
  <c r="I17" i="16"/>
  <c r="H17" i="16"/>
  <c r="G17" i="16"/>
  <c r="D17" i="16"/>
  <c r="AV16" i="16"/>
  <c r="AW16" i="16" s="1"/>
  <c r="AT16" i="16"/>
  <c r="AU16" i="16" s="1"/>
  <c r="N16" i="16"/>
  <c r="H16" i="16"/>
  <c r="E16" i="16"/>
  <c r="D16" i="16"/>
  <c r="AV15" i="16"/>
  <c r="AT15" i="16"/>
  <c r="AN15" i="16"/>
  <c r="AK15" i="16"/>
  <c r="AH15" i="16"/>
  <c r="AE15" i="16"/>
  <c r="AB15" i="16"/>
  <c r="Y15" i="16"/>
  <c r="V15" i="16"/>
  <c r="S15" i="16"/>
  <c r="Q15" i="16"/>
  <c r="P15" i="16"/>
  <c r="N15" i="16"/>
  <c r="E15" i="16" s="1"/>
  <c r="AW15" i="16" s="1"/>
  <c r="M15" i="16"/>
  <c r="J15" i="16"/>
  <c r="H15" i="16"/>
  <c r="G15" i="16"/>
  <c r="D15" i="16"/>
  <c r="AU15" i="16" s="1"/>
  <c r="AV14" i="16"/>
  <c r="AT14" i="16"/>
  <c r="AU14" i="16" s="1"/>
  <c r="AN14" i="16"/>
  <c r="AM14" i="16"/>
  <c r="AK14" i="16"/>
  <c r="AI14" i="16"/>
  <c r="AH14" i="16"/>
  <c r="AJ14" i="16" s="1"/>
  <c r="AF14" i="16"/>
  <c r="AG14" i="16" s="1"/>
  <c r="AE14" i="16"/>
  <c r="AC14" i="16"/>
  <c r="AB14" i="16"/>
  <c r="AD14" i="16" s="1"/>
  <c r="Z14" i="16"/>
  <c r="AA14" i="16" s="1"/>
  <c r="Y14" i="16"/>
  <c r="W14" i="16"/>
  <c r="V14" i="16"/>
  <c r="T14" i="16"/>
  <c r="U14" i="16" s="1"/>
  <c r="S14" i="16"/>
  <c r="Q14" i="16"/>
  <c r="P14" i="16"/>
  <c r="R14" i="16" s="1"/>
  <c r="N14" i="16"/>
  <c r="O14" i="16" s="1"/>
  <c r="M14" i="16"/>
  <c r="K14" i="16"/>
  <c r="J14" i="16"/>
  <c r="L14" i="16" s="1"/>
  <c r="H14" i="16"/>
  <c r="I14" i="16" s="1"/>
  <c r="G14" i="16"/>
  <c r="D14" i="16"/>
  <c r="AV13" i="16"/>
  <c r="AT13" i="16"/>
  <c r="AO13" i="16"/>
  <c r="AN13" i="16"/>
  <c r="AL13" i="16"/>
  <c r="AK13" i="16"/>
  <c r="AJ13" i="16"/>
  <c r="AI13" i="16"/>
  <c r="AH13" i="16"/>
  <c r="AG13" i="16"/>
  <c r="AF13" i="16"/>
  <c r="AE13" i="16"/>
  <c r="AD13" i="16"/>
  <c r="AC13" i="16"/>
  <c r="AB13" i="16"/>
  <c r="AA13" i="16"/>
  <c r="Z13" i="16"/>
  <c r="Y13" i="16"/>
  <c r="W13" i="16"/>
  <c r="E13" i="16" s="1"/>
  <c r="V13" i="16"/>
  <c r="T13" i="16"/>
  <c r="S13" i="16"/>
  <c r="Q13" i="16"/>
  <c r="P13" i="16"/>
  <c r="N13" i="16"/>
  <c r="M13" i="16"/>
  <c r="L13" i="16"/>
  <c r="K13" i="16"/>
  <c r="J13" i="16"/>
  <c r="H13" i="16"/>
  <c r="G13" i="16"/>
  <c r="AT12" i="16"/>
  <c r="AP12" i="16"/>
  <c r="AO12" i="16"/>
  <c r="AN12" i="16"/>
  <c r="AL12" i="16"/>
  <c r="AK12" i="16"/>
  <c r="AI12" i="16"/>
  <c r="AH12" i="16"/>
  <c r="AF12" i="16"/>
  <c r="AE12" i="16"/>
  <c r="AC12" i="16"/>
  <c r="AB12" i="16"/>
  <c r="Z12" i="16"/>
  <c r="Y12" i="16"/>
  <c r="V12" i="16"/>
  <c r="T12" i="16"/>
  <c r="S12" i="16"/>
  <c r="Q12" i="16"/>
  <c r="P12" i="16"/>
  <c r="N12" i="16"/>
  <c r="M12" i="16"/>
  <c r="K12" i="16"/>
  <c r="J12" i="16"/>
  <c r="L12" i="16" s="1"/>
  <c r="H12" i="16"/>
  <c r="I12" i="16" s="1"/>
  <c r="G12" i="16"/>
  <c r="D12" i="16"/>
  <c r="AU12" i="16" s="1"/>
  <c r="E31" i="15"/>
  <c r="D31" i="15"/>
  <c r="E30" i="15"/>
  <c r="D30" i="15"/>
  <c r="AM29" i="15"/>
  <c r="AG29" i="15"/>
  <c r="AD29" i="15"/>
  <c r="AA29" i="15"/>
  <c r="X29" i="15"/>
  <c r="U29" i="15"/>
  <c r="R29" i="15"/>
  <c r="O29" i="15"/>
  <c r="L29" i="15"/>
  <c r="I29" i="15"/>
  <c r="E29" i="15"/>
  <c r="D29" i="15"/>
  <c r="AN28" i="15"/>
  <c r="AK28" i="15"/>
  <c r="AH28" i="15"/>
  <c r="AE28" i="15"/>
  <c r="AB28" i="15"/>
  <c r="AB13" i="15" s="1"/>
  <c r="Y28" i="15"/>
  <c r="V28" i="15"/>
  <c r="V27" i="15" s="1"/>
  <c r="X27" i="15" s="1"/>
  <c r="S28" i="15"/>
  <c r="U28" i="15" s="1"/>
  <c r="P28" i="15"/>
  <c r="R28" i="15" s="1"/>
  <c r="R13" i="15" s="1"/>
  <c r="J28" i="15"/>
  <c r="I28" i="15"/>
  <c r="E28" i="15"/>
  <c r="AN27" i="15"/>
  <c r="AL27" i="15"/>
  <c r="AK27" i="15"/>
  <c r="AI27" i="15"/>
  <c r="AH27" i="15"/>
  <c r="AF27" i="15"/>
  <c r="AE27" i="15"/>
  <c r="AC27" i="15"/>
  <c r="AB27" i="15"/>
  <c r="AD27" i="15" s="1"/>
  <c r="Z27" i="15"/>
  <c r="W27" i="15"/>
  <c r="T27" i="15"/>
  <c r="Q27" i="15"/>
  <c r="N27" i="15"/>
  <c r="O27" i="15" s="1"/>
  <c r="M27" i="15"/>
  <c r="K27" i="15"/>
  <c r="K12" i="15" s="1"/>
  <c r="H27" i="15"/>
  <c r="G27" i="15"/>
  <c r="E26" i="15"/>
  <c r="D26" i="15"/>
  <c r="E25" i="15"/>
  <c r="D25" i="15"/>
  <c r="E24" i="15"/>
  <c r="D24" i="15"/>
  <c r="AN23" i="15"/>
  <c r="AM23" i="15"/>
  <c r="AK23" i="15"/>
  <c r="AJ23" i="15"/>
  <c r="AH23" i="15"/>
  <c r="AG23" i="15"/>
  <c r="AG13" i="15" s="1"/>
  <c r="AE23" i="15"/>
  <c r="AD23" i="15"/>
  <c r="AB23" i="15"/>
  <c r="Y23" i="15"/>
  <c r="Y22" i="15" s="1"/>
  <c r="AA22" i="15" s="1"/>
  <c r="V23" i="15"/>
  <c r="S23" i="15"/>
  <c r="U23" i="15" s="1"/>
  <c r="R23" i="15"/>
  <c r="E23" i="15"/>
  <c r="AN22" i="15"/>
  <c r="AL22" i="15"/>
  <c r="AK22" i="15"/>
  <c r="AI22" i="15"/>
  <c r="AJ22" i="15" s="1"/>
  <c r="AH22" i="15"/>
  <c r="AF22" i="15"/>
  <c r="AE22" i="15"/>
  <c r="AC22" i="15"/>
  <c r="AD22" i="15" s="1"/>
  <c r="AB22" i="15"/>
  <c r="Z22" i="15"/>
  <c r="W22" i="15"/>
  <c r="T22" i="15"/>
  <c r="S22" i="15"/>
  <c r="U22" i="15" s="1"/>
  <c r="Q22" i="15"/>
  <c r="P22" i="15"/>
  <c r="N22" i="15"/>
  <c r="M22" i="15"/>
  <c r="O22" i="15" s="1"/>
  <c r="K22" i="15"/>
  <c r="J22" i="15"/>
  <c r="H22" i="15"/>
  <c r="G22" i="15"/>
  <c r="E21" i="15"/>
  <c r="D21" i="15"/>
  <c r="E20" i="15"/>
  <c r="D20" i="15"/>
  <c r="AN19" i="15"/>
  <c r="AK19" i="15"/>
  <c r="AK14" i="15" s="1"/>
  <c r="AM14" i="15" s="1"/>
  <c r="AH19" i="15"/>
  <c r="AE19" i="15"/>
  <c r="AB19" i="15"/>
  <c r="AD19" i="15" s="1"/>
  <c r="Y19" i="15"/>
  <c r="V19" i="15"/>
  <c r="X19" i="15" s="1"/>
  <c r="S19" i="15"/>
  <c r="P19" i="15"/>
  <c r="O19" i="15"/>
  <c r="L19" i="15"/>
  <c r="I19" i="15"/>
  <c r="E19" i="15"/>
  <c r="AK18" i="15"/>
  <c r="AH18" i="15"/>
  <c r="AE18" i="15"/>
  <c r="AE13" i="15" s="1"/>
  <c r="AB18" i="15"/>
  <c r="Y18" i="15"/>
  <c r="V18" i="15"/>
  <c r="S18" i="15"/>
  <c r="R18" i="15"/>
  <c r="O18" i="15"/>
  <c r="J18" i="15"/>
  <c r="I18" i="15"/>
  <c r="E18" i="15"/>
  <c r="D18" i="15"/>
  <c r="AL17" i="15"/>
  <c r="AK17" i="15"/>
  <c r="AM17" i="15" s="1"/>
  <c r="AI17" i="15"/>
  <c r="AF17" i="15"/>
  <c r="AF12" i="15" s="1"/>
  <c r="AC17" i="15"/>
  <c r="Z17" i="15"/>
  <c r="W17" i="15"/>
  <c r="T17" i="15"/>
  <c r="E17" i="15" s="1"/>
  <c r="Q17" i="15"/>
  <c r="O17" i="15"/>
  <c r="N17" i="15"/>
  <c r="M17" i="15"/>
  <c r="K17" i="15"/>
  <c r="I17" i="15"/>
  <c r="H17" i="15"/>
  <c r="G17" i="15"/>
  <c r="N16" i="15"/>
  <c r="H16" i="15"/>
  <c r="E16" i="15"/>
  <c r="D16" i="15"/>
  <c r="AN15" i="15"/>
  <c r="AK15" i="15"/>
  <c r="AH15" i="15"/>
  <c r="AE15" i="15"/>
  <c r="AB15" i="15"/>
  <c r="Y15" i="15"/>
  <c r="V15" i="15"/>
  <c r="S15" i="15"/>
  <c r="Q15" i="15"/>
  <c r="P15" i="15"/>
  <c r="N15" i="15"/>
  <c r="E15" i="15" s="1"/>
  <c r="M15" i="15"/>
  <c r="J15" i="15"/>
  <c r="H15" i="15"/>
  <c r="G15" i="15"/>
  <c r="D15" i="15" s="1"/>
  <c r="AI14" i="15"/>
  <c r="AH14" i="15"/>
  <c r="AF14" i="15"/>
  <c r="AC14" i="15"/>
  <c r="AB14" i="15"/>
  <c r="AD14" i="15" s="1"/>
  <c r="Z14" i="15"/>
  <c r="W14" i="15"/>
  <c r="W12" i="15" s="1"/>
  <c r="V14" i="15"/>
  <c r="T14" i="15"/>
  <c r="Q14" i="15"/>
  <c r="P14" i="15"/>
  <c r="R14" i="15" s="1"/>
  <c r="N14" i="15"/>
  <c r="M14" i="15"/>
  <c r="K14" i="15"/>
  <c r="J14" i="15"/>
  <c r="L14" i="15" s="1"/>
  <c r="H14" i="15"/>
  <c r="G14" i="15"/>
  <c r="AO13" i="15"/>
  <c r="AN13" i="15"/>
  <c r="AL13" i="15"/>
  <c r="AJ13" i="15"/>
  <c r="AI13" i="15"/>
  <c r="AH13" i="15"/>
  <c r="AF13" i="15"/>
  <c r="AC13" i="15"/>
  <c r="Z13" i="15"/>
  <c r="W13" i="15"/>
  <c r="V13" i="15"/>
  <c r="T13" i="15"/>
  <c r="Q13" i="15"/>
  <c r="P13" i="15"/>
  <c r="N13" i="15"/>
  <c r="M13" i="15"/>
  <c r="K13" i="15"/>
  <c r="J13" i="15"/>
  <c r="H13" i="15"/>
  <c r="G13" i="15"/>
  <c r="AP12" i="15"/>
  <c r="AO12" i="15"/>
  <c r="AI12" i="15"/>
  <c r="AC12" i="15"/>
  <c r="Q12" i="15"/>
  <c r="M12" i="15"/>
  <c r="G12" i="15"/>
  <c r="AE18" i="12"/>
  <c r="AB18" i="12"/>
  <c r="Y18" i="12"/>
  <c r="V18" i="12"/>
  <c r="AN23" i="12"/>
  <c r="D23" i="12" s="1"/>
  <c r="AK23" i="12"/>
  <c r="AH23" i="12"/>
  <c r="AE23" i="12"/>
  <c r="AB23" i="12"/>
  <c r="Y23" i="12"/>
  <c r="V23" i="12"/>
  <c r="AN28" i="12"/>
  <c r="AK28" i="12"/>
  <c r="AH28" i="12"/>
  <c r="AE28" i="12"/>
  <c r="AB28" i="12"/>
  <c r="Y28" i="12"/>
  <c r="V28" i="12"/>
  <c r="E31" i="12"/>
  <c r="AW31" i="12" s="1"/>
  <c r="D31" i="12"/>
  <c r="AU31" i="12" s="1"/>
  <c r="E30" i="12"/>
  <c r="AW30" i="12" s="1"/>
  <c r="D30" i="12"/>
  <c r="AU30" i="12" s="1"/>
  <c r="AM29" i="12"/>
  <c r="AG29" i="12"/>
  <c r="AD29" i="12"/>
  <c r="AA29" i="12"/>
  <c r="X29" i="12"/>
  <c r="U29" i="12"/>
  <c r="R29" i="12"/>
  <c r="O29" i="12"/>
  <c r="L29" i="12"/>
  <c r="I29" i="12"/>
  <c r="E29" i="12"/>
  <c r="D29" i="12"/>
  <c r="AU29" i="12" s="1"/>
  <c r="U28" i="12"/>
  <c r="S28" i="12"/>
  <c r="R28" i="12"/>
  <c r="P28" i="12"/>
  <c r="J28" i="12"/>
  <c r="D28" i="12" s="1"/>
  <c r="AU28" i="12" s="1"/>
  <c r="I28" i="12"/>
  <c r="E28" i="12"/>
  <c r="AW28" i="12" s="1"/>
  <c r="AV27" i="12"/>
  <c r="AT27" i="12"/>
  <c r="AN27" i="12"/>
  <c r="AL27" i="12"/>
  <c r="AM27" i="12" s="1"/>
  <c r="AK27" i="12"/>
  <c r="AI27" i="12"/>
  <c r="AH27" i="12"/>
  <c r="AJ27" i="12" s="1"/>
  <c r="AF27" i="12"/>
  <c r="AG27" i="12" s="1"/>
  <c r="AE27" i="12"/>
  <c r="AC27" i="12"/>
  <c r="AB27" i="12"/>
  <c r="AD27" i="12" s="1"/>
  <c r="Z27" i="12"/>
  <c r="W27" i="12"/>
  <c r="V27" i="12"/>
  <c r="X27" i="12" s="1"/>
  <c r="T27" i="12"/>
  <c r="U27" i="12" s="1"/>
  <c r="S27" i="12"/>
  <c r="Q27" i="12"/>
  <c r="P27" i="12"/>
  <c r="R27" i="12" s="1"/>
  <c r="N27" i="12"/>
  <c r="O27" i="12" s="1"/>
  <c r="M27" i="12"/>
  <c r="K27" i="12"/>
  <c r="J27" i="12"/>
  <c r="L27" i="12" s="1"/>
  <c r="H27" i="12"/>
  <c r="G27" i="12"/>
  <c r="E26" i="12"/>
  <c r="AW26" i="12" s="1"/>
  <c r="D26" i="12"/>
  <c r="AU26" i="12" s="1"/>
  <c r="E25" i="12"/>
  <c r="AW25" i="12" s="1"/>
  <c r="D25" i="12"/>
  <c r="AU25" i="12" s="1"/>
  <c r="E24" i="12"/>
  <c r="AW24" i="12" s="1"/>
  <c r="D24" i="12"/>
  <c r="AU24" i="12" s="1"/>
  <c r="AM23" i="12"/>
  <c r="AJ23" i="12"/>
  <c r="AG23" i="12"/>
  <c r="AG13" i="12" s="1"/>
  <c r="AD23" i="12"/>
  <c r="S23" i="12"/>
  <c r="U23" i="12" s="1"/>
  <c r="R23" i="12"/>
  <c r="E23" i="12"/>
  <c r="AW23" i="12" s="1"/>
  <c r="AV22" i="12"/>
  <c r="AT22" i="12"/>
  <c r="AL22" i="12"/>
  <c r="AK22" i="12"/>
  <c r="AM22" i="12" s="1"/>
  <c r="AI22" i="12"/>
  <c r="AH22" i="12"/>
  <c r="AF22" i="12"/>
  <c r="AE22" i="12"/>
  <c r="AG22" i="12" s="1"/>
  <c r="AC22" i="12"/>
  <c r="AB22" i="12"/>
  <c r="Z22" i="12"/>
  <c r="Y22" i="12"/>
  <c r="AA22" i="12" s="1"/>
  <c r="W22" i="12"/>
  <c r="T22" i="12"/>
  <c r="S22" i="12"/>
  <c r="U22" i="12" s="1"/>
  <c r="Q22" i="12"/>
  <c r="R22" i="12" s="1"/>
  <c r="P22" i="12"/>
  <c r="N22" i="12"/>
  <c r="M22" i="12"/>
  <c r="O22" i="12" s="1"/>
  <c r="O12" i="12" s="1"/>
  <c r="K22" i="12"/>
  <c r="J22" i="12"/>
  <c r="H22" i="12"/>
  <c r="G22" i="12"/>
  <c r="AW21" i="12"/>
  <c r="E21" i="12"/>
  <c r="D21" i="12"/>
  <c r="AU21" i="12" s="1"/>
  <c r="E20" i="12"/>
  <c r="AW20" i="12" s="1"/>
  <c r="D20" i="12"/>
  <c r="AU20" i="12" s="1"/>
  <c r="AW19" i="12"/>
  <c r="AN19" i="12"/>
  <c r="AK19" i="12"/>
  <c r="AH19" i="12"/>
  <c r="AH17" i="12" s="1"/>
  <c r="AE19" i="12"/>
  <c r="AB19" i="12"/>
  <c r="AD19" i="12" s="1"/>
  <c r="Y19" i="12"/>
  <c r="V19" i="12"/>
  <c r="X19" i="12" s="1"/>
  <c r="S19" i="12"/>
  <c r="D19" i="12" s="1"/>
  <c r="P19" i="12"/>
  <c r="O19" i="12"/>
  <c r="L19" i="12"/>
  <c r="I19" i="12"/>
  <c r="E19" i="12"/>
  <c r="AK18" i="12"/>
  <c r="AH18" i="12"/>
  <c r="AE13" i="12"/>
  <c r="S18" i="12"/>
  <c r="R18" i="12"/>
  <c r="O18" i="12"/>
  <c r="J18" i="12"/>
  <c r="I18" i="12"/>
  <c r="E18" i="12"/>
  <c r="AW18" i="12" s="1"/>
  <c r="D18" i="12"/>
  <c r="AU18" i="12" s="1"/>
  <c r="AV17" i="12"/>
  <c r="AT17" i="12"/>
  <c r="AL17" i="12"/>
  <c r="AK17" i="12"/>
  <c r="AM17" i="12" s="1"/>
  <c r="AI17" i="12"/>
  <c r="AJ17" i="12" s="1"/>
  <c r="AF17" i="12"/>
  <c r="AE17" i="12"/>
  <c r="AG17" i="12" s="1"/>
  <c r="AC17" i="12"/>
  <c r="Z17" i="12"/>
  <c r="Y17" i="12"/>
  <c r="AA17" i="12" s="1"/>
  <c r="W17" i="12"/>
  <c r="T17" i="12"/>
  <c r="T12" i="12" s="1"/>
  <c r="S17" i="12"/>
  <c r="Q17" i="12"/>
  <c r="O17" i="12"/>
  <c r="N17" i="12"/>
  <c r="M17" i="12"/>
  <c r="K17" i="12"/>
  <c r="I17" i="12"/>
  <c r="H17" i="12"/>
  <c r="G17" i="12"/>
  <c r="E17" i="12"/>
  <c r="AV16" i="12"/>
  <c r="AU16" i="12"/>
  <c r="AT16" i="12"/>
  <c r="N16" i="12"/>
  <c r="H16" i="12"/>
  <c r="E16" i="12"/>
  <c r="AW16" i="12" s="1"/>
  <c r="D16" i="12"/>
  <c r="AV15" i="12"/>
  <c r="AT15" i="12"/>
  <c r="AN15" i="12"/>
  <c r="AK15" i="12"/>
  <c r="AH15" i="12"/>
  <c r="AE15" i="12"/>
  <c r="AB15" i="12"/>
  <c r="Y15" i="12"/>
  <c r="V15" i="12"/>
  <c r="S15" i="12"/>
  <c r="Q15" i="12"/>
  <c r="P15" i="12"/>
  <c r="N15" i="12"/>
  <c r="E15" i="12" s="1"/>
  <c r="AW15" i="12" s="1"/>
  <c r="M15" i="12"/>
  <c r="J15" i="12"/>
  <c r="H15" i="12"/>
  <c r="G15" i="12"/>
  <c r="D15" i="12" s="1"/>
  <c r="AU15" i="12" s="1"/>
  <c r="AV14" i="12"/>
  <c r="AT14" i="12"/>
  <c r="AM14" i="12"/>
  <c r="AK14" i="12"/>
  <c r="AI14" i="12"/>
  <c r="AH14" i="12"/>
  <c r="AJ14" i="12" s="1"/>
  <c r="AF14" i="12"/>
  <c r="AC14" i="12"/>
  <c r="AB14" i="12"/>
  <c r="AD14" i="12" s="1"/>
  <c r="Z14" i="12"/>
  <c r="W14" i="12"/>
  <c r="V14" i="12"/>
  <c r="X14" i="12" s="1"/>
  <c r="T14" i="12"/>
  <c r="Q14" i="12"/>
  <c r="P14" i="12"/>
  <c r="N14" i="12"/>
  <c r="O14" i="12" s="1"/>
  <c r="M14" i="12"/>
  <c r="K14" i="12"/>
  <c r="J14" i="12"/>
  <c r="L14" i="12" s="1"/>
  <c r="H14" i="12"/>
  <c r="G14" i="12"/>
  <c r="AV13" i="12"/>
  <c r="AV12" i="12" s="1"/>
  <c r="AT13" i="12"/>
  <c r="AO13" i="12"/>
  <c r="AL13" i="12"/>
  <c r="AJ13" i="12"/>
  <c r="AI13" i="12"/>
  <c r="AH13" i="12"/>
  <c r="AF13" i="12"/>
  <c r="AC13" i="12"/>
  <c r="AB13" i="12"/>
  <c r="Z13" i="12"/>
  <c r="W13" i="12"/>
  <c r="V13" i="12"/>
  <c r="T13" i="12"/>
  <c r="R13" i="12"/>
  <c r="Q13" i="12"/>
  <c r="P13" i="12"/>
  <c r="N13" i="12"/>
  <c r="M13" i="12"/>
  <c r="K13" i="12"/>
  <c r="J13" i="12"/>
  <c r="H13" i="12"/>
  <c r="G13" i="12"/>
  <c r="E13" i="12"/>
  <c r="AT12" i="12"/>
  <c r="AP12" i="12"/>
  <c r="AO12" i="12"/>
  <c r="AL12" i="12"/>
  <c r="AK12" i="12"/>
  <c r="AI12" i="12"/>
  <c r="AH12" i="12"/>
  <c r="AF12" i="12"/>
  <c r="AE12" i="12"/>
  <c r="AC12" i="12"/>
  <c r="Z12" i="12"/>
  <c r="W12" i="12"/>
  <c r="S12" i="12"/>
  <c r="Q12" i="12"/>
  <c r="N12" i="12"/>
  <c r="M12" i="12"/>
  <c r="K12" i="12"/>
  <c r="H12" i="12"/>
  <c r="I12" i="12" s="1"/>
  <c r="G12" i="12"/>
  <c r="V12" i="17" l="1"/>
  <c r="D12" i="17" s="1"/>
  <c r="X22" i="17"/>
  <c r="AA27" i="17"/>
  <c r="D14" i="17"/>
  <c r="AU14" i="17" s="1"/>
  <c r="AD17" i="17"/>
  <c r="AD12" i="17" s="1"/>
  <c r="U14" i="17"/>
  <c r="L27" i="17"/>
  <c r="D27" i="17"/>
  <c r="AU27" i="17" s="1"/>
  <c r="F22" i="17"/>
  <c r="AA13" i="17"/>
  <c r="S12" i="17"/>
  <c r="U17" i="17"/>
  <c r="U12" i="17" s="1"/>
  <c r="AA12" i="17"/>
  <c r="AW27" i="17"/>
  <c r="X13" i="17"/>
  <c r="L17" i="17"/>
  <c r="L13" i="17"/>
  <c r="X17" i="17"/>
  <c r="X12" i="17" s="1"/>
  <c r="D13" i="17"/>
  <c r="AU13" i="17" s="1"/>
  <c r="D17" i="17"/>
  <c r="AU17" i="17" s="1"/>
  <c r="F14" i="17"/>
  <c r="AW13" i="17"/>
  <c r="AA12" i="16"/>
  <c r="D22" i="16"/>
  <c r="F22" i="16"/>
  <c r="AU22" i="16"/>
  <c r="D13" i="16"/>
  <c r="AU13" i="16" s="1"/>
  <c r="AU17" i="16"/>
  <c r="W12" i="16"/>
  <c r="X14" i="16"/>
  <c r="E17" i="16"/>
  <c r="AW13" i="16"/>
  <c r="AW17" i="16"/>
  <c r="X13" i="16"/>
  <c r="AV12" i="16"/>
  <c r="AW22" i="16"/>
  <c r="I13" i="16"/>
  <c r="F18" i="16"/>
  <c r="F19" i="16"/>
  <c r="F23" i="16"/>
  <c r="E12" i="16"/>
  <c r="E14" i="16"/>
  <c r="F14" i="16" s="1"/>
  <c r="E27" i="16"/>
  <c r="F27" i="16" s="1"/>
  <c r="F29" i="16"/>
  <c r="O12" i="15"/>
  <c r="N12" i="15"/>
  <c r="AK12" i="15"/>
  <c r="I13" i="15"/>
  <c r="O14" i="15"/>
  <c r="X14" i="15"/>
  <c r="AJ14" i="15"/>
  <c r="AJ17" i="15"/>
  <c r="AH17" i="15"/>
  <c r="AH12" i="15" s="1"/>
  <c r="R22" i="15"/>
  <c r="AG22" i="15"/>
  <c r="AM22" i="15"/>
  <c r="AM12" i="15" s="1"/>
  <c r="P27" i="15"/>
  <c r="R27" i="15" s="1"/>
  <c r="S27" i="15"/>
  <c r="U27" i="15" s="1"/>
  <c r="AG27" i="15"/>
  <c r="AM27" i="15"/>
  <c r="D28" i="15"/>
  <c r="F18" i="15"/>
  <c r="L18" i="15"/>
  <c r="J17" i="15"/>
  <c r="X18" i="15"/>
  <c r="V17" i="15"/>
  <c r="X17" i="15" s="1"/>
  <c r="AD18" i="15"/>
  <c r="AD13" i="15" s="1"/>
  <c r="AB17" i="15"/>
  <c r="AB12" i="15" s="1"/>
  <c r="U19" i="15"/>
  <c r="S14" i="15"/>
  <c r="AA19" i="15"/>
  <c r="Y14" i="15"/>
  <c r="AA14" i="15" s="1"/>
  <c r="AG19" i="15"/>
  <c r="AE14" i="15"/>
  <c r="AG14" i="15" s="1"/>
  <c r="X23" i="15"/>
  <c r="V22" i="15"/>
  <c r="X22" i="15" s="1"/>
  <c r="I27" i="15"/>
  <c r="E27" i="15"/>
  <c r="AJ27" i="15"/>
  <c r="AA28" i="15"/>
  <c r="Y27" i="15"/>
  <c r="AA27" i="15" s="1"/>
  <c r="F29" i="15"/>
  <c r="H12" i="15"/>
  <c r="T12" i="15"/>
  <c r="Z12" i="15"/>
  <c r="AL12" i="15"/>
  <c r="E13" i="15"/>
  <c r="I14" i="15"/>
  <c r="E14" i="15"/>
  <c r="S17" i="15"/>
  <c r="Y17" i="15"/>
  <c r="AE17" i="15"/>
  <c r="U18" i="15"/>
  <c r="U13" i="15" s="1"/>
  <c r="S13" i="15"/>
  <c r="AA18" i="15"/>
  <c r="Y13" i="15"/>
  <c r="AM18" i="15"/>
  <c r="AM13" i="15" s="1"/>
  <c r="AK13" i="15"/>
  <c r="D19" i="15"/>
  <c r="R19" i="15"/>
  <c r="P17" i="15"/>
  <c r="P12" i="15" s="1"/>
  <c r="AN17" i="15"/>
  <c r="AN12" i="15" s="1"/>
  <c r="AN14" i="15"/>
  <c r="E22" i="15"/>
  <c r="D23" i="15"/>
  <c r="J27" i="15"/>
  <c r="AN13" i="12"/>
  <c r="AN22" i="12"/>
  <c r="AM12" i="12"/>
  <c r="AJ12" i="12"/>
  <c r="AJ22" i="12"/>
  <c r="AD22" i="12"/>
  <c r="AG12" i="12"/>
  <c r="U17" i="12"/>
  <c r="U12" i="12" s="1"/>
  <c r="AU19" i="12"/>
  <c r="F19" i="12"/>
  <c r="AU23" i="12"/>
  <c r="F23" i="12"/>
  <c r="I13" i="12"/>
  <c r="AW13" i="12"/>
  <c r="I14" i="12"/>
  <c r="E14" i="12"/>
  <c r="R14" i="12"/>
  <c r="AW14" i="12"/>
  <c r="AW17" i="12"/>
  <c r="U18" i="12"/>
  <c r="U13" i="12" s="1"/>
  <c r="S13" i="12"/>
  <c r="AA18" i="12"/>
  <c r="Y13" i="12"/>
  <c r="AM18" i="12"/>
  <c r="AM13" i="12" s="1"/>
  <c r="AK13" i="12"/>
  <c r="R19" i="12"/>
  <c r="P17" i="12"/>
  <c r="P12" i="12" s="1"/>
  <c r="AN17" i="12"/>
  <c r="AN12" i="12" s="1"/>
  <c r="AN14" i="12"/>
  <c r="E22" i="12"/>
  <c r="E12" i="12"/>
  <c r="R17" i="12"/>
  <c r="R12" i="12" s="1"/>
  <c r="F18" i="12"/>
  <c r="F17" i="12" s="1"/>
  <c r="L18" i="12"/>
  <c r="J17" i="12"/>
  <c r="J12" i="12" s="1"/>
  <c r="X18" i="12"/>
  <c r="V17" i="12"/>
  <c r="AD18" i="12"/>
  <c r="AD13" i="12" s="1"/>
  <c r="AB17" i="12"/>
  <c r="AB12" i="12" s="1"/>
  <c r="U19" i="12"/>
  <c r="S14" i="12"/>
  <c r="D14" i="12" s="1"/>
  <c r="AU14" i="12" s="1"/>
  <c r="AA19" i="12"/>
  <c r="Y14" i="12"/>
  <c r="AA14" i="12" s="1"/>
  <c r="AG19" i="12"/>
  <c r="AE14" i="12"/>
  <c r="AG14" i="12" s="1"/>
  <c r="AW22" i="12"/>
  <c r="X23" i="12"/>
  <c r="V22" i="12"/>
  <c r="D22" i="12" s="1"/>
  <c r="AU22" i="12" s="1"/>
  <c r="I27" i="12"/>
  <c r="E27" i="12"/>
  <c r="AA28" i="12"/>
  <c r="Y27" i="12"/>
  <c r="Y12" i="12" s="1"/>
  <c r="AW29" i="12"/>
  <c r="F29" i="12"/>
  <c r="E31" i="10"/>
  <c r="D31" i="10"/>
  <c r="E30" i="10"/>
  <c r="D30" i="10"/>
  <c r="AM29" i="10"/>
  <c r="AG29" i="10"/>
  <c r="AD29" i="10"/>
  <c r="AA29" i="10"/>
  <c r="X29" i="10"/>
  <c r="U29" i="10"/>
  <c r="R29" i="10"/>
  <c r="O29" i="10"/>
  <c r="L29" i="10"/>
  <c r="I29" i="10"/>
  <c r="E29" i="10"/>
  <c r="D29" i="10"/>
  <c r="AN28" i="10"/>
  <c r="AK28" i="10"/>
  <c r="AH28" i="10"/>
  <c r="AE28" i="10"/>
  <c r="AB28" i="10"/>
  <c r="Y28" i="10"/>
  <c r="AA28" i="10" s="1"/>
  <c r="V28" i="10"/>
  <c r="S28" i="10"/>
  <c r="U28" i="10" s="1"/>
  <c r="P28" i="10"/>
  <c r="R28" i="10" s="1"/>
  <c r="J28" i="10"/>
  <c r="D28" i="10" s="1"/>
  <c r="I28" i="10"/>
  <c r="E28" i="10"/>
  <c r="AN27" i="10"/>
  <c r="AL27" i="10"/>
  <c r="AK27" i="10"/>
  <c r="AM27" i="10" s="1"/>
  <c r="AI27" i="10"/>
  <c r="AH27" i="10"/>
  <c r="AF27" i="10"/>
  <c r="AE27" i="10"/>
  <c r="AC27" i="10"/>
  <c r="AB27" i="10"/>
  <c r="Z27" i="10"/>
  <c r="Y27" i="10"/>
  <c r="W27" i="10"/>
  <c r="V27" i="10"/>
  <c r="T27" i="10"/>
  <c r="S27" i="10"/>
  <c r="U27" i="10" s="1"/>
  <c r="Q27" i="10"/>
  <c r="P27" i="10"/>
  <c r="N27" i="10"/>
  <c r="M27" i="10"/>
  <c r="O27" i="10" s="1"/>
  <c r="K27" i="10"/>
  <c r="J27" i="10"/>
  <c r="H27" i="10"/>
  <c r="G27" i="10"/>
  <c r="E27" i="10"/>
  <c r="D27" i="10"/>
  <c r="E26" i="10"/>
  <c r="D26" i="10"/>
  <c r="E25" i="10"/>
  <c r="D25" i="10"/>
  <c r="E24" i="10"/>
  <c r="D24" i="10"/>
  <c r="AN23" i="10"/>
  <c r="AK23" i="10"/>
  <c r="AM23" i="10" s="1"/>
  <c r="AH23" i="10"/>
  <c r="AJ23" i="10" s="1"/>
  <c r="AJ13" i="10" s="1"/>
  <c r="AE23" i="10"/>
  <c r="AG23" i="10" s="1"/>
  <c r="AG13" i="10" s="1"/>
  <c r="AB23" i="10"/>
  <c r="AD23" i="10" s="1"/>
  <c r="Y23" i="10"/>
  <c r="V23" i="10"/>
  <c r="X23" i="10" s="1"/>
  <c r="S23" i="10"/>
  <c r="U23" i="10" s="1"/>
  <c r="R23" i="10"/>
  <c r="E23" i="10"/>
  <c r="D23" i="10"/>
  <c r="AN22" i="10"/>
  <c r="AL22" i="10"/>
  <c r="AL12" i="10" s="1"/>
  <c r="AI22" i="10"/>
  <c r="AF22" i="10"/>
  <c r="AF12" i="10" s="1"/>
  <c r="AC22" i="10"/>
  <c r="Z22" i="10"/>
  <c r="Z12" i="10" s="1"/>
  <c r="Y22" i="10"/>
  <c r="W22" i="10"/>
  <c r="T22" i="10"/>
  <c r="T12" i="10" s="1"/>
  <c r="S22" i="10"/>
  <c r="Q22" i="10"/>
  <c r="R22" i="10" s="1"/>
  <c r="P22" i="10"/>
  <c r="N22" i="10"/>
  <c r="M22" i="10"/>
  <c r="K22" i="10"/>
  <c r="J22" i="10"/>
  <c r="H22" i="10"/>
  <c r="H12" i="10" s="1"/>
  <c r="G22" i="10"/>
  <c r="E22" i="10"/>
  <c r="E21" i="10"/>
  <c r="D21" i="10"/>
  <c r="E20" i="10"/>
  <c r="D20" i="10"/>
  <c r="AN19" i="10"/>
  <c r="AK19" i="10"/>
  <c r="AH19" i="10"/>
  <c r="AE19" i="10"/>
  <c r="AG19" i="10" s="1"/>
  <c r="AB19" i="10"/>
  <c r="AD19" i="10" s="1"/>
  <c r="Y19" i="10"/>
  <c r="AA19" i="10" s="1"/>
  <c r="V19" i="10"/>
  <c r="X19" i="10" s="1"/>
  <c r="S19" i="10"/>
  <c r="U19" i="10" s="1"/>
  <c r="P19" i="10"/>
  <c r="R19" i="10" s="1"/>
  <c r="O19" i="10"/>
  <c r="L19" i="10"/>
  <c r="I19" i="10"/>
  <c r="E19" i="10"/>
  <c r="AK18" i="10"/>
  <c r="AM18" i="10" s="1"/>
  <c r="AM13" i="10" s="1"/>
  <c r="AH18" i="10"/>
  <c r="AE18" i="10"/>
  <c r="AE13" i="10" s="1"/>
  <c r="AB18" i="10"/>
  <c r="AD18" i="10" s="1"/>
  <c r="AA18" i="10"/>
  <c r="Y18" i="10"/>
  <c r="X18" i="10"/>
  <c r="V18" i="10"/>
  <c r="U18" i="10"/>
  <c r="S18" i="10"/>
  <c r="R18" i="10"/>
  <c r="O18" i="10"/>
  <c r="J18" i="10"/>
  <c r="L18" i="10" s="1"/>
  <c r="I18" i="10"/>
  <c r="E18" i="10"/>
  <c r="AN17" i="10"/>
  <c r="AL17" i="10"/>
  <c r="AK17" i="10"/>
  <c r="AI17" i="10"/>
  <c r="AH17" i="10"/>
  <c r="AF17" i="10"/>
  <c r="AE17" i="10"/>
  <c r="AC17" i="10"/>
  <c r="AB17" i="10"/>
  <c r="Z17" i="10"/>
  <c r="Y17" i="10"/>
  <c r="W17" i="10"/>
  <c r="V17" i="10"/>
  <c r="T17" i="10"/>
  <c r="S17" i="10"/>
  <c r="U17" i="10" s="1"/>
  <c r="Q17" i="10"/>
  <c r="P17" i="10"/>
  <c r="O17" i="10"/>
  <c r="N17" i="10"/>
  <c r="N12" i="10" s="1"/>
  <c r="M17" i="10"/>
  <c r="K17" i="10"/>
  <c r="E17" i="10" s="1"/>
  <c r="I17" i="10"/>
  <c r="H17" i="10"/>
  <c r="G17" i="10"/>
  <c r="N16" i="10"/>
  <c r="H16" i="10"/>
  <c r="E16" i="10"/>
  <c r="D16" i="10"/>
  <c r="AN15" i="10"/>
  <c r="AK15" i="10"/>
  <c r="AH15" i="10"/>
  <c r="AE15" i="10"/>
  <c r="AB15" i="10"/>
  <c r="Y15" i="10"/>
  <c r="V15" i="10"/>
  <c r="S15" i="10"/>
  <c r="Q15" i="10"/>
  <c r="P15" i="10"/>
  <c r="N15" i="10"/>
  <c r="E15" i="10" s="1"/>
  <c r="M15" i="10"/>
  <c r="J15" i="10"/>
  <c r="H15" i="10"/>
  <c r="G15" i="10"/>
  <c r="D15" i="10" s="1"/>
  <c r="AN14" i="10"/>
  <c r="AK14" i="10"/>
  <c r="AM14" i="10" s="1"/>
  <c r="AI14" i="10"/>
  <c r="AH14" i="10"/>
  <c r="AJ14" i="10" s="1"/>
  <c r="AF14" i="10"/>
  <c r="AE14" i="10"/>
  <c r="AC14" i="10"/>
  <c r="AB14" i="10"/>
  <c r="AD14" i="10" s="1"/>
  <c r="Z14" i="10"/>
  <c r="Y14" i="10"/>
  <c r="W14" i="10"/>
  <c r="V14" i="10"/>
  <c r="X14" i="10" s="1"/>
  <c r="T14" i="10"/>
  <c r="S14" i="10"/>
  <c r="Q14" i="10"/>
  <c r="P14" i="10"/>
  <c r="R14" i="10" s="1"/>
  <c r="N14" i="10"/>
  <c r="M14" i="10"/>
  <c r="K14" i="10"/>
  <c r="J14" i="10"/>
  <c r="L14" i="10" s="1"/>
  <c r="H14" i="10"/>
  <c r="G14" i="10"/>
  <c r="D14" i="10" s="1"/>
  <c r="AO13" i="10"/>
  <c r="AN13" i="10"/>
  <c r="AL13" i="10"/>
  <c r="AI13" i="10"/>
  <c r="AH13" i="10"/>
  <c r="AF13" i="10"/>
  <c r="AC13" i="10"/>
  <c r="Z13" i="10"/>
  <c r="W13" i="10"/>
  <c r="W12" i="10" s="1"/>
  <c r="T13" i="10"/>
  <c r="Q13" i="10"/>
  <c r="P13" i="10"/>
  <c r="N13" i="10"/>
  <c r="M13" i="10"/>
  <c r="K13" i="10"/>
  <c r="H13" i="10"/>
  <c r="G13" i="10"/>
  <c r="E13" i="10"/>
  <c r="AP12" i="10"/>
  <c r="AO12" i="10"/>
  <c r="AN12" i="10"/>
  <c r="Y12" i="10"/>
  <c r="S12" i="10"/>
  <c r="P12" i="10"/>
  <c r="M12" i="10"/>
  <c r="G12" i="10"/>
  <c r="AN23" i="9"/>
  <c r="D23" i="9"/>
  <c r="AU23" i="9" s="1"/>
  <c r="AK23" i="9"/>
  <c r="AM23" i="9" s="1"/>
  <c r="AM13" i="9" s="1"/>
  <c r="AH23" i="9"/>
  <c r="AE23" i="9"/>
  <c r="AB23" i="9"/>
  <c r="Y23" i="9"/>
  <c r="V23" i="9"/>
  <c r="S23" i="9"/>
  <c r="AN19" i="9"/>
  <c r="AK19" i="9"/>
  <c r="AH19" i="9"/>
  <c r="AE19" i="9"/>
  <c r="AB19" i="9"/>
  <c r="Y19" i="9"/>
  <c r="Y17" i="9" s="1"/>
  <c r="V19" i="9"/>
  <c r="S19" i="9"/>
  <c r="AK18" i="9"/>
  <c r="AH18" i="9"/>
  <c r="AE18" i="9"/>
  <c r="AB18" i="9"/>
  <c r="Y18" i="9"/>
  <c r="V18" i="9"/>
  <c r="S18" i="9"/>
  <c r="L12" i="9"/>
  <c r="I12" i="9"/>
  <c r="I14" i="9"/>
  <c r="I13" i="9"/>
  <c r="E31" i="9"/>
  <c r="AW31" i="9" s="1"/>
  <c r="D31" i="9"/>
  <c r="AU31" i="9" s="1"/>
  <c r="E30" i="9"/>
  <c r="AW30" i="9" s="1"/>
  <c r="D30" i="9"/>
  <c r="AU30" i="9" s="1"/>
  <c r="AM29" i="9"/>
  <c r="AG29" i="9"/>
  <c r="AD29" i="9"/>
  <c r="AA29" i="9"/>
  <c r="X29" i="9"/>
  <c r="U29" i="9"/>
  <c r="R29" i="9"/>
  <c r="O29" i="9"/>
  <c r="L29" i="9"/>
  <c r="I29" i="9"/>
  <c r="E29" i="9"/>
  <c r="AW29" i="9" s="1"/>
  <c r="D29" i="9"/>
  <c r="F29" i="9" s="1"/>
  <c r="AN28" i="9"/>
  <c r="AK28" i="9"/>
  <c r="AH28" i="9"/>
  <c r="AE28" i="9"/>
  <c r="AB28" i="9"/>
  <c r="AA28" i="9"/>
  <c r="Y28" i="9"/>
  <c r="V28" i="9"/>
  <c r="S28" i="9"/>
  <c r="U28" i="9" s="1"/>
  <c r="P28" i="9"/>
  <c r="R28" i="9" s="1"/>
  <c r="J28" i="9"/>
  <c r="I28" i="9"/>
  <c r="E28" i="9"/>
  <c r="AW28" i="9" s="1"/>
  <c r="D28" i="9"/>
  <c r="AU28" i="9" s="1"/>
  <c r="AV27" i="9"/>
  <c r="AT27" i="9"/>
  <c r="AU27" i="9" s="1"/>
  <c r="AN27" i="9"/>
  <c r="AL27" i="9"/>
  <c r="AK27" i="9"/>
  <c r="AM27" i="9" s="1"/>
  <c r="AI27" i="9"/>
  <c r="AJ27" i="9" s="1"/>
  <c r="AH27" i="9"/>
  <c r="AF27" i="9"/>
  <c r="AE27" i="9"/>
  <c r="AG27" i="9" s="1"/>
  <c r="AC27" i="9"/>
  <c r="AD27" i="9" s="1"/>
  <c r="AB27" i="9"/>
  <c r="Z27" i="9"/>
  <c r="Y27" i="9"/>
  <c r="AA27" i="9" s="1"/>
  <c r="W27" i="9"/>
  <c r="X27" i="9" s="1"/>
  <c r="V27" i="9"/>
  <c r="T27" i="9"/>
  <c r="S27" i="9"/>
  <c r="U27" i="9" s="1"/>
  <c r="Q27" i="9"/>
  <c r="R27" i="9" s="1"/>
  <c r="P27" i="9"/>
  <c r="N27" i="9"/>
  <c r="M27" i="9"/>
  <c r="O27" i="9" s="1"/>
  <c r="K27" i="9"/>
  <c r="L27" i="9" s="1"/>
  <c r="J27" i="9"/>
  <c r="H27" i="9"/>
  <c r="G27" i="9"/>
  <c r="I27" i="9" s="1"/>
  <c r="E27" i="9"/>
  <c r="F27" i="9" s="1"/>
  <c r="D27" i="9"/>
  <c r="E26" i="9"/>
  <c r="AW26" i="9" s="1"/>
  <c r="D26" i="9"/>
  <c r="AU26" i="9" s="1"/>
  <c r="E25" i="9"/>
  <c r="AW25" i="9" s="1"/>
  <c r="D25" i="9"/>
  <c r="AU25" i="9" s="1"/>
  <c r="E24" i="9"/>
  <c r="AW24" i="9" s="1"/>
  <c r="D24" i="9"/>
  <c r="AU24" i="9" s="1"/>
  <c r="AJ23" i="9"/>
  <c r="AG23" i="9"/>
  <c r="AD23" i="9"/>
  <c r="X23" i="9"/>
  <c r="U23" i="9"/>
  <c r="R23" i="9"/>
  <c r="E23" i="9"/>
  <c r="AW23" i="9" s="1"/>
  <c r="AV22" i="9"/>
  <c r="AT22" i="9"/>
  <c r="AN22" i="9"/>
  <c r="AN12" i="9" s="1"/>
  <c r="AL22" i="9"/>
  <c r="AK22" i="9"/>
  <c r="AM22" i="9" s="1"/>
  <c r="AI22" i="9"/>
  <c r="AJ22" i="9" s="1"/>
  <c r="AH22" i="9"/>
  <c r="AF22" i="9"/>
  <c r="AE22" i="9"/>
  <c r="AG22" i="9" s="1"/>
  <c r="AC22" i="9"/>
  <c r="AB22" i="9"/>
  <c r="Z22" i="9"/>
  <c r="Y22" i="9"/>
  <c r="AA22" i="9" s="1"/>
  <c r="W22" i="9"/>
  <c r="V22" i="9"/>
  <c r="V12" i="9" s="1"/>
  <c r="T22" i="9"/>
  <c r="S22" i="9"/>
  <c r="U22" i="9" s="1"/>
  <c r="Q22" i="9"/>
  <c r="R22" i="9" s="1"/>
  <c r="P22" i="9"/>
  <c r="N22" i="9"/>
  <c r="M22" i="9"/>
  <c r="O22" i="9" s="1"/>
  <c r="O12" i="9" s="1"/>
  <c r="K22" i="9"/>
  <c r="J22" i="9"/>
  <c r="H22" i="9"/>
  <c r="G22" i="9"/>
  <c r="D22" i="9" s="1"/>
  <c r="E22" i="9"/>
  <c r="E21" i="9"/>
  <c r="AW21" i="9" s="1"/>
  <c r="D21" i="9"/>
  <c r="AU21" i="9" s="1"/>
  <c r="E20" i="9"/>
  <c r="AW20" i="9" s="1"/>
  <c r="D20" i="9"/>
  <c r="AU20" i="9" s="1"/>
  <c r="AG19" i="9"/>
  <c r="AD19" i="9"/>
  <c r="AA19" i="9"/>
  <c r="X19" i="9"/>
  <c r="U19" i="9"/>
  <c r="P19" i="9"/>
  <c r="R19" i="9" s="1"/>
  <c r="O19" i="9"/>
  <c r="L19" i="9"/>
  <c r="I19" i="9"/>
  <c r="E19" i="9"/>
  <c r="AW19" i="9" s="1"/>
  <c r="D19" i="9"/>
  <c r="AU19" i="9" s="1"/>
  <c r="AM18" i="9"/>
  <c r="AD18" i="9"/>
  <c r="AA18" i="9"/>
  <c r="X18" i="9"/>
  <c r="U18" i="9"/>
  <c r="R18" i="9"/>
  <c r="O18" i="9"/>
  <c r="L18" i="9"/>
  <c r="J18" i="9"/>
  <c r="I18" i="9"/>
  <c r="E18" i="9"/>
  <c r="AW18" i="9" s="1"/>
  <c r="D18" i="9"/>
  <c r="AU18" i="9" s="1"/>
  <c r="AV17" i="9"/>
  <c r="AT17" i="9"/>
  <c r="AN17" i="9"/>
  <c r="AL17" i="9"/>
  <c r="AK17" i="9"/>
  <c r="AI17" i="9"/>
  <c r="AH17" i="9"/>
  <c r="AF17" i="9"/>
  <c r="AE17" i="9"/>
  <c r="AC17" i="9"/>
  <c r="AB17" i="9"/>
  <c r="Z17" i="9"/>
  <c r="W17" i="9"/>
  <c r="V17" i="9"/>
  <c r="X17" i="9" s="1"/>
  <c r="T17" i="9"/>
  <c r="S17" i="9"/>
  <c r="Q17" i="9"/>
  <c r="P17" i="9"/>
  <c r="R17" i="9" s="1"/>
  <c r="R12" i="9" s="1"/>
  <c r="O17" i="9"/>
  <c r="N17" i="9"/>
  <c r="M17" i="9"/>
  <c r="L17" i="9"/>
  <c r="K17" i="9"/>
  <c r="J17" i="9"/>
  <c r="I17" i="9"/>
  <c r="H17" i="9"/>
  <c r="E17" i="9" s="1"/>
  <c r="G17" i="9"/>
  <c r="AV16" i="9"/>
  <c r="AW16" i="9" s="1"/>
  <c r="AT16" i="9"/>
  <c r="AU16" i="9" s="1"/>
  <c r="N16" i="9"/>
  <c r="H16" i="9"/>
  <c r="E16" i="9"/>
  <c r="D16" i="9"/>
  <c r="AV15" i="9"/>
  <c r="AW15" i="9" s="1"/>
  <c r="AT15" i="9"/>
  <c r="AU15" i="9" s="1"/>
  <c r="AN15" i="9"/>
  <c r="AK15" i="9"/>
  <c r="AH15" i="9"/>
  <c r="AE15" i="9"/>
  <c r="AB15" i="9"/>
  <c r="Y15" i="9"/>
  <c r="V15" i="9"/>
  <c r="S15" i="9"/>
  <c r="Q15" i="9"/>
  <c r="P15" i="9"/>
  <c r="N15" i="9"/>
  <c r="M15" i="9"/>
  <c r="J15" i="9"/>
  <c r="H15" i="9"/>
  <c r="G15" i="9"/>
  <c r="E15" i="9"/>
  <c r="D15" i="9"/>
  <c r="AV14" i="9"/>
  <c r="AW14" i="9" s="1"/>
  <c r="AT14" i="9"/>
  <c r="AN14" i="9"/>
  <c r="AK14" i="9"/>
  <c r="AM14" i="9" s="1"/>
  <c r="AI14" i="9"/>
  <c r="AH14" i="9"/>
  <c r="AJ14" i="9" s="1"/>
  <c r="AF14" i="9"/>
  <c r="AE14" i="9"/>
  <c r="AC14" i="9"/>
  <c r="AB14" i="9"/>
  <c r="AD14" i="9" s="1"/>
  <c r="Z14" i="9"/>
  <c r="W14" i="9"/>
  <c r="V14" i="9"/>
  <c r="X14" i="9" s="1"/>
  <c r="T14" i="9"/>
  <c r="S14" i="9"/>
  <c r="Q14" i="9"/>
  <c r="P14" i="9"/>
  <c r="R14" i="9" s="1"/>
  <c r="N14" i="9"/>
  <c r="O14" i="9" s="1"/>
  <c r="M14" i="9"/>
  <c r="K14" i="9"/>
  <c r="J14" i="9"/>
  <c r="L14" i="9" s="1"/>
  <c r="H14" i="9"/>
  <c r="G14" i="9"/>
  <c r="E14" i="9"/>
  <c r="AV13" i="9"/>
  <c r="AT13" i="9"/>
  <c r="AO13" i="9"/>
  <c r="AN13" i="9"/>
  <c r="AL13" i="9"/>
  <c r="AK13" i="9"/>
  <c r="AJ13" i="9"/>
  <c r="AI13" i="9"/>
  <c r="AH13" i="9"/>
  <c r="AG13" i="9"/>
  <c r="AF13" i="9"/>
  <c r="AE13" i="9"/>
  <c r="AD13" i="9"/>
  <c r="AC13" i="9"/>
  <c r="AB13" i="9"/>
  <c r="AA13" i="9"/>
  <c r="Z13" i="9"/>
  <c r="Y13" i="9"/>
  <c r="X13" i="9"/>
  <c r="W13" i="9"/>
  <c r="V13" i="9"/>
  <c r="T13" i="9"/>
  <c r="S13" i="9"/>
  <c r="Q13" i="9"/>
  <c r="E13" i="9" s="1"/>
  <c r="P13" i="9"/>
  <c r="N13" i="9"/>
  <c r="M13" i="9"/>
  <c r="L13" i="9"/>
  <c r="K13" i="9"/>
  <c r="J13" i="9"/>
  <c r="H13" i="9"/>
  <c r="G13" i="9"/>
  <c r="AV12" i="9"/>
  <c r="AT12" i="9"/>
  <c r="AP12" i="9"/>
  <c r="AO12" i="9"/>
  <c r="AL12" i="9"/>
  <c r="AK12" i="9"/>
  <c r="AI12" i="9"/>
  <c r="AH12" i="9"/>
  <c r="AF12" i="9"/>
  <c r="AE12" i="9"/>
  <c r="AC12" i="9"/>
  <c r="AB12" i="9"/>
  <c r="Z12" i="9"/>
  <c r="W12" i="9"/>
  <c r="T12" i="9"/>
  <c r="S12" i="9"/>
  <c r="Q12" i="9"/>
  <c r="P12" i="9"/>
  <c r="N12" i="9"/>
  <c r="M12" i="9"/>
  <c r="K12" i="9"/>
  <c r="J12" i="9"/>
  <c r="H12" i="9"/>
  <c r="E12" i="9" s="1"/>
  <c r="G12" i="9"/>
  <c r="F27" i="17" l="1"/>
  <c r="F12" i="17"/>
  <c r="AU12" i="17"/>
  <c r="F13" i="17"/>
  <c r="F13" i="16"/>
  <c r="AW12" i="16"/>
  <c r="F12" i="16"/>
  <c r="F17" i="16"/>
  <c r="AW27" i="16"/>
  <c r="AW14" i="16"/>
  <c r="AA13" i="15"/>
  <c r="AJ12" i="15"/>
  <c r="X13" i="15"/>
  <c r="F23" i="15"/>
  <c r="D13" i="15"/>
  <c r="AA17" i="15"/>
  <c r="AA12" i="15" s="1"/>
  <c r="Y12" i="15"/>
  <c r="D17" i="15"/>
  <c r="D22" i="15"/>
  <c r="L17" i="15"/>
  <c r="L13" i="15"/>
  <c r="X12" i="15"/>
  <c r="L27" i="15"/>
  <c r="D27" i="15"/>
  <c r="F27" i="15" s="1"/>
  <c r="F19" i="15"/>
  <c r="AG17" i="15"/>
  <c r="AG12" i="15" s="1"/>
  <c r="AE12" i="15"/>
  <c r="U17" i="15"/>
  <c r="U12" i="15" s="1"/>
  <c r="S12" i="15"/>
  <c r="I12" i="15"/>
  <c r="E12" i="15"/>
  <c r="D14" i="15"/>
  <c r="V12" i="15"/>
  <c r="J12" i="15"/>
  <c r="F17" i="15"/>
  <c r="AD17" i="15"/>
  <c r="AD12" i="15" s="1"/>
  <c r="R17" i="15"/>
  <c r="R12" i="15" s="1"/>
  <c r="U14" i="15"/>
  <c r="D13" i="12"/>
  <c r="AU13" i="12" s="1"/>
  <c r="AA27" i="12"/>
  <c r="AA12" i="12" s="1"/>
  <c r="X22" i="12"/>
  <c r="V12" i="12"/>
  <c r="D12" i="12" s="1"/>
  <c r="L12" i="12"/>
  <c r="AD17" i="12"/>
  <c r="AD12" i="12" s="1"/>
  <c r="U14" i="12"/>
  <c r="AW12" i="12"/>
  <c r="F14" i="12"/>
  <c r="AW27" i="12"/>
  <c r="X13" i="12"/>
  <c r="L17" i="12"/>
  <c r="L13" i="12"/>
  <c r="X17" i="12"/>
  <c r="D27" i="12"/>
  <c r="AU27" i="12" s="1"/>
  <c r="F22" i="12"/>
  <c r="AA13" i="12"/>
  <c r="D17" i="12"/>
  <c r="AU17" i="12" s="1"/>
  <c r="I12" i="10"/>
  <c r="U12" i="10"/>
  <c r="X13" i="10"/>
  <c r="AA13" i="10"/>
  <c r="K12" i="10"/>
  <c r="Q12" i="10"/>
  <c r="AC12" i="10"/>
  <c r="AI12" i="10"/>
  <c r="I13" i="10"/>
  <c r="J13" i="10"/>
  <c r="S13" i="10"/>
  <c r="V13" i="10"/>
  <c r="Y13" i="10"/>
  <c r="AB13" i="10"/>
  <c r="AK13" i="10"/>
  <c r="I14" i="10"/>
  <c r="O14" i="10"/>
  <c r="U14" i="10"/>
  <c r="AA14" i="10"/>
  <c r="AG14" i="10"/>
  <c r="J17" i="10"/>
  <c r="J12" i="10" s="1"/>
  <c r="R17" i="10"/>
  <c r="X17" i="10"/>
  <c r="AA17" i="10"/>
  <c r="AA12" i="10" s="1"/>
  <c r="AD17" i="10"/>
  <c r="AG17" i="10"/>
  <c r="AJ17" i="10"/>
  <c r="AM17" i="10"/>
  <c r="D18" i="10"/>
  <c r="AD13" i="10"/>
  <c r="D19" i="10"/>
  <c r="O22" i="10"/>
  <c r="O12" i="10" s="1"/>
  <c r="U22" i="10"/>
  <c r="V22" i="10"/>
  <c r="AA22" i="10"/>
  <c r="AB22" i="10"/>
  <c r="AB12" i="10" s="1"/>
  <c r="AE22" i="10"/>
  <c r="AH22" i="10"/>
  <c r="AH12" i="10" s="1"/>
  <c r="AK22" i="10"/>
  <c r="F27" i="10"/>
  <c r="I27" i="10"/>
  <c r="L27" i="10"/>
  <c r="R27" i="10"/>
  <c r="X27" i="10"/>
  <c r="AA27" i="10"/>
  <c r="AD27" i="10"/>
  <c r="AG27" i="10"/>
  <c r="AJ27" i="10"/>
  <c r="R13" i="10"/>
  <c r="L17" i="10"/>
  <c r="L13" i="10"/>
  <c r="R12" i="10"/>
  <c r="U13" i="10"/>
  <c r="F18" i="10"/>
  <c r="F19" i="10"/>
  <c r="F23" i="10"/>
  <c r="E14" i="10"/>
  <c r="F14" i="10" s="1"/>
  <c r="F29" i="10"/>
  <c r="AD22" i="9"/>
  <c r="X22" i="9"/>
  <c r="X12" i="9" s="1"/>
  <c r="U13" i="9"/>
  <c r="AG14" i="9"/>
  <c r="AG17" i="9"/>
  <c r="AG12" i="9" s="1"/>
  <c r="AD17" i="9"/>
  <c r="AD12" i="9" s="1"/>
  <c r="D17" i="9"/>
  <c r="Y12" i="9"/>
  <c r="AA17" i="9"/>
  <c r="AA12" i="9" s="1"/>
  <c r="Y14" i="9"/>
  <c r="D14" i="9" s="1"/>
  <c r="D12" i="9"/>
  <c r="AU12" i="9" s="1"/>
  <c r="F14" i="9"/>
  <c r="U14" i="9"/>
  <c r="AU14" i="9"/>
  <c r="U17" i="9"/>
  <c r="U12" i="9" s="1"/>
  <c r="AM17" i="9"/>
  <c r="AM12" i="9" s="1"/>
  <c r="AJ17" i="9"/>
  <c r="AJ12" i="9" s="1"/>
  <c r="D13" i="9"/>
  <c r="AU13" i="9" s="1"/>
  <c r="AU17" i="9"/>
  <c r="F13" i="9"/>
  <c r="R13" i="9"/>
  <c r="AW22" i="9"/>
  <c r="AW27" i="9"/>
  <c r="AW13" i="9"/>
  <c r="AW17" i="9"/>
  <c r="F22" i="9"/>
  <c r="AU22" i="9"/>
  <c r="AW12" i="9"/>
  <c r="F12" i="9"/>
  <c r="F19" i="9"/>
  <c r="F23" i="9"/>
  <c r="AU29" i="9"/>
  <c r="F18" i="9"/>
  <c r="E33" i="7"/>
  <c r="D33" i="7"/>
  <c r="E32" i="7"/>
  <c r="D32" i="7"/>
  <c r="AM31" i="7"/>
  <c r="AG31" i="7"/>
  <c r="AD31" i="7"/>
  <c r="AA31" i="7"/>
  <c r="X31" i="7"/>
  <c r="U31" i="7"/>
  <c r="R31" i="7"/>
  <c r="O31" i="7"/>
  <c r="L31" i="7"/>
  <c r="I31" i="7"/>
  <c r="E31" i="7"/>
  <c r="D31" i="7"/>
  <c r="AN30" i="7"/>
  <c r="AN15" i="7" s="1"/>
  <c r="AK30" i="7"/>
  <c r="AK29" i="7" s="1"/>
  <c r="AH30" i="7"/>
  <c r="AH15" i="7" s="1"/>
  <c r="AE30" i="7"/>
  <c r="AE29" i="7" s="1"/>
  <c r="AB30" i="7"/>
  <c r="AB15" i="7" s="1"/>
  <c r="Y30" i="7"/>
  <c r="Y15" i="7" s="1"/>
  <c r="V30" i="7"/>
  <c r="U30" i="7"/>
  <c r="S30" i="7"/>
  <c r="R30" i="7"/>
  <c r="P30" i="7"/>
  <c r="J30" i="7"/>
  <c r="D30" i="7" s="1"/>
  <c r="I30" i="7"/>
  <c r="E30" i="7"/>
  <c r="AN29" i="7"/>
  <c r="AL29" i="7"/>
  <c r="AI29" i="7"/>
  <c r="AH29" i="7"/>
  <c r="AF29" i="7"/>
  <c r="AC29" i="7"/>
  <c r="AB29" i="7"/>
  <c r="Z29" i="7"/>
  <c r="W29" i="7"/>
  <c r="V29" i="7"/>
  <c r="X29" i="7" s="1"/>
  <c r="T29" i="7"/>
  <c r="S29" i="7"/>
  <c r="Q29" i="7"/>
  <c r="P29" i="7"/>
  <c r="N29" i="7"/>
  <c r="M29" i="7"/>
  <c r="K29" i="7"/>
  <c r="J29" i="7"/>
  <c r="L29" i="7" s="1"/>
  <c r="H29" i="7"/>
  <c r="G29" i="7"/>
  <c r="E28" i="7"/>
  <c r="D28" i="7"/>
  <c r="E27" i="7"/>
  <c r="D27" i="7"/>
  <c r="E26" i="7"/>
  <c r="D26" i="7"/>
  <c r="AM25" i="7"/>
  <c r="AJ25" i="7"/>
  <c r="AJ15" i="7" s="1"/>
  <c r="AG25" i="7"/>
  <c r="AD25" i="7"/>
  <c r="X25" i="7"/>
  <c r="U25" i="7"/>
  <c r="R25" i="7"/>
  <c r="E25" i="7"/>
  <c r="D25" i="7"/>
  <c r="AN24" i="7"/>
  <c r="AL24" i="7"/>
  <c r="AK24" i="7"/>
  <c r="AM24" i="7" s="1"/>
  <c r="AI24" i="7"/>
  <c r="AH24" i="7"/>
  <c r="AF24" i="7"/>
  <c r="AE24" i="7"/>
  <c r="AG24" i="7" s="1"/>
  <c r="AC24" i="7"/>
  <c r="AB24" i="7"/>
  <c r="Z24" i="7"/>
  <c r="Y24" i="7"/>
  <c r="AA24" i="7" s="1"/>
  <c r="W24" i="7"/>
  <c r="V24" i="7"/>
  <c r="T24" i="7"/>
  <c r="S24" i="7"/>
  <c r="U24" i="7" s="1"/>
  <c r="Q24" i="7"/>
  <c r="P24" i="7"/>
  <c r="N24" i="7"/>
  <c r="M24" i="7"/>
  <c r="O24" i="7" s="1"/>
  <c r="K24" i="7"/>
  <c r="J24" i="7"/>
  <c r="H24" i="7"/>
  <c r="G24" i="7"/>
  <c r="E24" i="7"/>
  <c r="E23" i="7"/>
  <c r="D23" i="7"/>
  <c r="E22" i="7"/>
  <c r="D22" i="7"/>
  <c r="AK21" i="7"/>
  <c r="AK19" i="7" s="1"/>
  <c r="AK14" i="7" s="1"/>
  <c r="AH21" i="7"/>
  <c r="AG21" i="7"/>
  <c r="AE21" i="7"/>
  <c r="AD21" i="7"/>
  <c r="AB21" i="7"/>
  <c r="AA21" i="7"/>
  <c r="V21" i="7"/>
  <c r="S21" i="7"/>
  <c r="P21" i="7"/>
  <c r="O21" i="7"/>
  <c r="L21" i="7"/>
  <c r="I21" i="7"/>
  <c r="E21" i="7"/>
  <c r="AM20" i="7"/>
  <c r="AD20" i="7"/>
  <c r="AA20" i="7"/>
  <c r="X20" i="7"/>
  <c r="X15" i="7" s="1"/>
  <c r="U20" i="7"/>
  <c r="U15" i="7" s="1"/>
  <c r="R20" i="7"/>
  <c r="O20" i="7"/>
  <c r="O19" i="7" s="1"/>
  <c r="J20" i="7"/>
  <c r="L20" i="7" s="1"/>
  <c r="I20" i="7"/>
  <c r="E20" i="7"/>
  <c r="AN19" i="7"/>
  <c r="AN14" i="7" s="1"/>
  <c r="AL19" i="7"/>
  <c r="AI19" i="7"/>
  <c r="AI14" i="7" s="1"/>
  <c r="AH19" i="7"/>
  <c r="AF19" i="7"/>
  <c r="AE19" i="7"/>
  <c r="AC19" i="7"/>
  <c r="AB19" i="7"/>
  <c r="Z19" i="7"/>
  <c r="Y19" i="7"/>
  <c r="W19" i="7"/>
  <c r="V19" i="7"/>
  <c r="T19" i="7"/>
  <c r="Q19" i="7"/>
  <c r="P19" i="7"/>
  <c r="P14" i="7" s="1"/>
  <c r="N19" i="7"/>
  <c r="N14" i="7" s="1"/>
  <c r="M19" i="7"/>
  <c r="K19" i="7"/>
  <c r="J19" i="7"/>
  <c r="J14" i="7" s="1"/>
  <c r="H19" i="7"/>
  <c r="G19" i="7"/>
  <c r="G14" i="7" s="1"/>
  <c r="N18" i="7"/>
  <c r="H18" i="7"/>
  <c r="E18" i="7" s="1"/>
  <c r="D18" i="7"/>
  <c r="AN17" i="7"/>
  <c r="AK17" i="7"/>
  <c r="AH17" i="7"/>
  <c r="AE17" i="7"/>
  <c r="AB17" i="7"/>
  <c r="Y17" i="7"/>
  <c r="V17" i="7"/>
  <c r="S17" i="7"/>
  <c r="Q17" i="7"/>
  <c r="P17" i="7"/>
  <c r="N17" i="7"/>
  <c r="E17" i="7" s="1"/>
  <c r="M17" i="7"/>
  <c r="J17" i="7"/>
  <c r="H17" i="7"/>
  <c r="G17" i="7"/>
  <c r="AN16" i="7"/>
  <c r="AI16" i="7"/>
  <c r="AJ16" i="7" s="1"/>
  <c r="AH16" i="7"/>
  <c r="AF16" i="7"/>
  <c r="AE16" i="7"/>
  <c r="AC16" i="7"/>
  <c r="AD16" i="7" s="1"/>
  <c r="AB16" i="7"/>
  <c r="Z16" i="7"/>
  <c r="Y16" i="7"/>
  <c r="W16" i="7"/>
  <c r="T16" i="7"/>
  <c r="S16" i="7"/>
  <c r="U16" i="7" s="1"/>
  <c r="Q16" i="7"/>
  <c r="N16" i="7"/>
  <c r="M16" i="7"/>
  <c r="K16" i="7"/>
  <c r="L16" i="7" s="1"/>
  <c r="J16" i="7"/>
  <c r="H16" i="7"/>
  <c r="G16" i="7"/>
  <c r="E16" i="7"/>
  <c r="AO15" i="7"/>
  <c r="AM15" i="7"/>
  <c r="AL15" i="7"/>
  <c r="AK15" i="7"/>
  <c r="AI15" i="7"/>
  <c r="AG15" i="7"/>
  <c r="AF15" i="7"/>
  <c r="AE15" i="7"/>
  <c r="AC15" i="7"/>
  <c r="Z15" i="7"/>
  <c r="W15" i="7"/>
  <c r="V15" i="7"/>
  <c r="T15" i="7"/>
  <c r="S15" i="7"/>
  <c r="Q15" i="7"/>
  <c r="P15" i="7"/>
  <c r="N15" i="7"/>
  <c r="M15" i="7"/>
  <c r="K15" i="7"/>
  <c r="H15" i="7"/>
  <c r="G15" i="7"/>
  <c r="AP14" i="7"/>
  <c r="AO14" i="7"/>
  <c r="AC14" i="7"/>
  <c r="Q14" i="7"/>
  <c r="K14" i="7"/>
  <c r="H14" i="7"/>
  <c r="L12" i="15" l="1"/>
  <c r="D12" i="15"/>
  <c r="F14" i="15"/>
  <c r="F12" i="15"/>
  <c r="F13" i="15"/>
  <c r="F22" i="15"/>
  <c r="F13" i="12"/>
  <c r="X12" i="12"/>
  <c r="AU12" i="12"/>
  <c r="F12" i="12"/>
  <c r="F27" i="12"/>
  <c r="D22" i="10"/>
  <c r="F22" i="10" s="1"/>
  <c r="V12" i="10"/>
  <c r="AG12" i="10"/>
  <c r="D13" i="10"/>
  <c r="F13" i="10" s="1"/>
  <c r="AJ22" i="10"/>
  <c r="AJ12" i="10" s="1"/>
  <c r="X22" i="10"/>
  <c r="X12" i="10" s="1"/>
  <c r="F17" i="10"/>
  <c r="AM22" i="10"/>
  <c r="AM12" i="10" s="1"/>
  <c r="AK12" i="10"/>
  <c r="AG22" i="10"/>
  <c r="AE12" i="10"/>
  <c r="D12" i="10" s="1"/>
  <c r="L12" i="10"/>
  <c r="AD22" i="10"/>
  <c r="AD12" i="10" s="1"/>
  <c r="D17" i="10"/>
  <c r="E12" i="10"/>
  <c r="F17" i="9"/>
  <c r="AA14" i="9"/>
  <c r="W14" i="7"/>
  <c r="L15" i="7"/>
  <c r="L19" i="7"/>
  <c r="L14" i="7" s="1"/>
  <c r="AG29" i="7"/>
  <c r="AM29" i="7"/>
  <c r="M14" i="7"/>
  <c r="AE14" i="7"/>
  <c r="J15" i="7"/>
  <c r="D15" i="7" s="1"/>
  <c r="O16" i="7"/>
  <c r="AA16" i="7"/>
  <c r="AG16" i="7"/>
  <c r="AK16" i="7"/>
  <c r="AM16" i="7" s="1"/>
  <c r="D17" i="7"/>
  <c r="E19" i="7"/>
  <c r="V14" i="7"/>
  <c r="AB14" i="7"/>
  <c r="AH14" i="7"/>
  <c r="D20" i="7"/>
  <c r="F20" i="7" s="1"/>
  <c r="R15" i="7"/>
  <c r="AD15" i="7"/>
  <c r="R24" i="7"/>
  <c r="X24" i="7"/>
  <c r="AD24" i="7"/>
  <c r="AJ24" i="7"/>
  <c r="O29" i="7"/>
  <c r="O14" i="7" s="1"/>
  <c r="U29" i="7"/>
  <c r="AD29" i="7"/>
  <c r="AJ29" i="7"/>
  <c r="T14" i="7"/>
  <c r="AD19" i="7"/>
  <c r="AD14" i="7" s="1"/>
  <c r="AG19" i="7"/>
  <c r="AF14" i="7"/>
  <c r="AM19" i="7"/>
  <c r="AM14" i="7" s="1"/>
  <c r="AL14" i="7"/>
  <c r="I19" i="7"/>
  <c r="I15" i="7"/>
  <c r="U21" i="7"/>
  <c r="S19" i="7"/>
  <c r="I29" i="7"/>
  <c r="E29" i="7"/>
  <c r="R29" i="7"/>
  <c r="AA30" i="7"/>
  <c r="AA15" i="7" s="1"/>
  <c r="Y29" i="7"/>
  <c r="Y14" i="7" s="1"/>
  <c r="F31" i="7"/>
  <c r="E15" i="7"/>
  <c r="I16" i="7"/>
  <c r="R19" i="7"/>
  <c r="R14" i="7" s="1"/>
  <c r="X19" i="7"/>
  <c r="AA19" i="7"/>
  <c r="Z14" i="7"/>
  <c r="AJ19" i="7"/>
  <c r="D21" i="7"/>
  <c r="R21" i="7"/>
  <c r="P16" i="7"/>
  <c r="X21" i="7"/>
  <c r="V16" i="7"/>
  <c r="X16" i="7" s="1"/>
  <c r="D24" i="7"/>
  <c r="F24" i="7" s="1"/>
  <c r="F25" i="7"/>
  <c r="AK11" i="6"/>
  <c r="AB7" i="6"/>
  <c r="Y7" i="6"/>
  <c r="AN9" i="6"/>
  <c r="AK9" i="6"/>
  <c r="AH9" i="6"/>
  <c r="AB9" i="6"/>
  <c r="Y9" i="6"/>
  <c r="V9" i="6"/>
  <c r="S9" i="6"/>
  <c r="L11" i="6"/>
  <c r="AH11" i="6"/>
  <c r="AE11" i="6"/>
  <c r="AB11" i="6"/>
  <c r="V11" i="6"/>
  <c r="S11" i="6"/>
  <c r="P11" i="6"/>
  <c r="F12" i="10" l="1"/>
  <c r="AJ14" i="7"/>
  <c r="D16" i="7"/>
  <c r="X14" i="7"/>
  <c r="AG14" i="7"/>
  <c r="E14" i="7"/>
  <c r="F16" i="7"/>
  <c r="F21" i="7"/>
  <c r="F15" i="7"/>
  <c r="I14" i="7"/>
  <c r="D29" i="7"/>
  <c r="F19" i="7"/>
  <c r="R16" i="7"/>
  <c r="AA29" i="7"/>
  <c r="AA14" i="7" s="1"/>
  <c r="F29" i="7"/>
  <c r="D19" i="7"/>
  <c r="S14" i="7"/>
  <c r="D14" i="7" s="1"/>
  <c r="U19" i="7"/>
  <c r="U14" i="7" s="1"/>
  <c r="V20" i="6"/>
  <c r="S20" i="6"/>
  <c r="P20" i="6"/>
  <c r="AN20" i="6"/>
  <c r="AK20" i="6"/>
  <c r="AH20" i="6"/>
  <c r="AE20" i="6"/>
  <c r="AB20" i="6"/>
  <c r="Y20" i="6"/>
  <c r="F14" i="7" l="1"/>
  <c r="E23" i="6"/>
  <c r="AW23" i="6" s="1"/>
  <c r="D23" i="6"/>
  <c r="AU23" i="6" s="1"/>
  <c r="E22" i="6"/>
  <c r="AW22" i="6" s="1"/>
  <c r="D22" i="6"/>
  <c r="AU22" i="6" s="1"/>
  <c r="AU21" i="6"/>
  <c r="AM21" i="6"/>
  <c r="AG21" i="6"/>
  <c r="AD21" i="6"/>
  <c r="AA21" i="6"/>
  <c r="X21" i="6"/>
  <c r="U21" i="6"/>
  <c r="R21" i="6"/>
  <c r="O21" i="6"/>
  <c r="L21" i="6"/>
  <c r="I21" i="6"/>
  <c r="E21" i="6"/>
  <c r="AW21" i="6" s="1"/>
  <c r="D21" i="6"/>
  <c r="AA20" i="6"/>
  <c r="U20" i="6"/>
  <c r="R20" i="6"/>
  <c r="J20" i="6"/>
  <c r="I20" i="6"/>
  <c r="E20" i="6"/>
  <c r="AW20" i="6" s="1"/>
  <c r="D20" i="6"/>
  <c r="AU20" i="6" s="1"/>
  <c r="AV19" i="6"/>
  <c r="AT19" i="6"/>
  <c r="AN19" i="6"/>
  <c r="AL19" i="6"/>
  <c r="AK19" i="6"/>
  <c r="AM19" i="6" s="1"/>
  <c r="AI19" i="6"/>
  <c r="AJ19" i="6" s="1"/>
  <c r="AH19" i="6"/>
  <c r="AF19" i="6"/>
  <c r="AE19" i="6"/>
  <c r="AG19" i="6" s="1"/>
  <c r="AC19" i="6"/>
  <c r="AB19" i="6"/>
  <c r="Z19" i="6"/>
  <c r="Y19" i="6"/>
  <c r="AA19" i="6" s="1"/>
  <c r="W19" i="6"/>
  <c r="V19" i="6"/>
  <c r="T19" i="6"/>
  <c r="S19" i="6"/>
  <c r="U19" i="6" s="1"/>
  <c r="Q19" i="6"/>
  <c r="P19" i="6"/>
  <c r="N19" i="6"/>
  <c r="M19" i="6"/>
  <c r="K19" i="6"/>
  <c r="L19" i="6" s="1"/>
  <c r="J19" i="6"/>
  <c r="H19" i="6"/>
  <c r="G19" i="6"/>
  <c r="D19" i="6" s="1"/>
  <c r="E19" i="6"/>
  <c r="E18" i="6"/>
  <c r="AW18" i="6" s="1"/>
  <c r="D18" i="6"/>
  <c r="AU18" i="6" s="1"/>
  <c r="E17" i="6"/>
  <c r="AW17" i="6" s="1"/>
  <c r="D17" i="6"/>
  <c r="AU17" i="6" s="1"/>
  <c r="AW16" i="6"/>
  <c r="E16" i="6"/>
  <c r="D16" i="6"/>
  <c r="AU16" i="6" s="1"/>
  <c r="AM15" i="6"/>
  <c r="AJ15" i="6"/>
  <c r="AG15" i="6"/>
  <c r="AD15" i="6"/>
  <c r="X15" i="6"/>
  <c r="U15" i="6"/>
  <c r="R15" i="6"/>
  <c r="E15" i="6"/>
  <c r="D15" i="6"/>
  <c r="AU15" i="6" s="1"/>
  <c r="AV14" i="6"/>
  <c r="AT14" i="6"/>
  <c r="AN14" i="6"/>
  <c r="AL14" i="6"/>
  <c r="AM14" i="6" s="1"/>
  <c r="AK14" i="6"/>
  <c r="AI14" i="6"/>
  <c r="AH14" i="6"/>
  <c r="AJ14" i="6" s="1"/>
  <c r="AF14" i="6"/>
  <c r="AG14" i="6" s="1"/>
  <c r="AE14" i="6"/>
  <c r="AC14" i="6"/>
  <c r="AB14" i="6"/>
  <c r="AD14" i="6" s="1"/>
  <c r="Z14" i="6"/>
  <c r="AA14" i="6" s="1"/>
  <c r="Y14" i="6"/>
  <c r="W14" i="6"/>
  <c r="V14" i="6"/>
  <c r="T14" i="6"/>
  <c r="U14" i="6" s="1"/>
  <c r="S14" i="6"/>
  <c r="Q14" i="6"/>
  <c r="P14" i="6"/>
  <c r="R14" i="6" s="1"/>
  <c r="N14" i="6"/>
  <c r="O14" i="6" s="1"/>
  <c r="M14" i="6"/>
  <c r="K14" i="6"/>
  <c r="J14" i="6"/>
  <c r="H14" i="6"/>
  <c r="E14" i="6" s="1"/>
  <c r="G14" i="6"/>
  <c r="E13" i="6"/>
  <c r="AW13" i="6" s="1"/>
  <c r="D13" i="6"/>
  <c r="AU13" i="6" s="1"/>
  <c r="E12" i="6"/>
  <c r="AW12" i="6" s="1"/>
  <c r="D12" i="6"/>
  <c r="AU12" i="6" s="1"/>
  <c r="AG11" i="6"/>
  <c r="AD11" i="6"/>
  <c r="AA11" i="6"/>
  <c r="X11" i="6"/>
  <c r="U11" i="6"/>
  <c r="R11" i="6"/>
  <c r="O11" i="6"/>
  <c r="I11" i="6"/>
  <c r="E11" i="6"/>
  <c r="AW11" i="6" s="1"/>
  <c r="D11" i="6"/>
  <c r="AU11" i="6" s="1"/>
  <c r="AU10" i="6"/>
  <c r="AM10" i="6"/>
  <c r="AD10" i="6"/>
  <c r="AD5" i="6" s="1"/>
  <c r="AA10" i="6"/>
  <c r="X10" i="6"/>
  <c r="U10" i="6"/>
  <c r="R10" i="6"/>
  <c r="O10" i="6"/>
  <c r="O9" i="6" s="1"/>
  <c r="L10" i="6"/>
  <c r="J10" i="6"/>
  <c r="I10" i="6"/>
  <c r="E10" i="6"/>
  <c r="D10" i="6"/>
  <c r="AV9" i="6"/>
  <c r="AT9" i="6"/>
  <c r="AN4" i="6"/>
  <c r="AL9" i="6"/>
  <c r="AI9" i="6"/>
  <c r="AF9" i="6"/>
  <c r="AE9" i="6"/>
  <c r="AC9" i="6"/>
  <c r="Z9" i="6"/>
  <c r="W9" i="6"/>
  <c r="T9" i="6"/>
  <c r="Q9" i="6"/>
  <c r="P9" i="6"/>
  <c r="N9" i="6"/>
  <c r="M9" i="6"/>
  <c r="L9" i="6"/>
  <c r="K9" i="6"/>
  <c r="J9" i="6"/>
  <c r="J4" i="6" s="1"/>
  <c r="H9" i="6"/>
  <c r="G9" i="6"/>
  <c r="D9" i="6"/>
  <c r="AU9" i="6" s="1"/>
  <c r="AV8" i="6"/>
  <c r="AT8" i="6"/>
  <c r="AU8" i="6" s="1"/>
  <c r="N8" i="6"/>
  <c r="H8" i="6"/>
  <c r="E8" i="6" s="1"/>
  <c r="D8" i="6"/>
  <c r="AV7" i="6"/>
  <c r="AW7" i="6" s="1"/>
  <c r="AT7" i="6"/>
  <c r="AN7" i="6"/>
  <c r="AK7" i="6"/>
  <c r="AH7" i="6"/>
  <c r="AE7" i="6"/>
  <c r="V7" i="6"/>
  <c r="S7" i="6"/>
  <c r="Q7" i="6"/>
  <c r="P7" i="6"/>
  <c r="N7" i="6"/>
  <c r="M7" i="6"/>
  <c r="J7" i="6"/>
  <c r="H7" i="6"/>
  <c r="G7" i="6"/>
  <c r="E7" i="6"/>
  <c r="AV6" i="6"/>
  <c r="AT6" i="6"/>
  <c r="AN6" i="6"/>
  <c r="AK6" i="6"/>
  <c r="AM6" i="6" s="1"/>
  <c r="AI6" i="6"/>
  <c r="AH6" i="6"/>
  <c r="AF6" i="6"/>
  <c r="AE6" i="6"/>
  <c r="AG6" i="6" s="1"/>
  <c r="AC6" i="6"/>
  <c r="AD6" i="6" s="1"/>
  <c r="AB6" i="6"/>
  <c r="Z6" i="6"/>
  <c r="Y6" i="6"/>
  <c r="AA6" i="6" s="1"/>
  <c r="W6" i="6"/>
  <c r="X6" i="6" s="1"/>
  <c r="V6" i="6"/>
  <c r="T6" i="6"/>
  <c r="S6" i="6"/>
  <c r="U6" i="6" s="1"/>
  <c r="Q6" i="6"/>
  <c r="R6" i="6" s="1"/>
  <c r="P6" i="6"/>
  <c r="N6" i="6"/>
  <c r="M6" i="6"/>
  <c r="O6" i="6" s="1"/>
  <c r="K6" i="6"/>
  <c r="L6" i="6" s="1"/>
  <c r="J6" i="6"/>
  <c r="H6" i="6"/>
  <c r="G6" i="6"/>
  <c r="AV5" i="6"/>
  <c r="AT5" i="6"/>
  <c r="AO5" i="6"/>
  <c r="AN5" i="6"/>
  <c r="AM5" i="6"/>
  <c r="AL5" i="6"/>
  <c r="AK5" i="6"/>
  <c r="AJ5" i="6"/>
  <c r="AI5" i="6"/>
  <c r="AH5" i="6"/>
  <c r="AG5" i="6"/>
  <c r="AF5" i="6"/>
  <c r="AE5" i="6"/>
  <c r="AC5" i="6"/>
  <c r="AB5" i="6"/>
  <c r="AA5" i="6"/>
  <c r="Z5" i="6"/>
  <c r="Y5" i="6"/>
  <c r="W5" i="6"/>
  <c r="V5" i="6"/>
  <c r="U5" i="6"/>
  <c r="T5" i="6"/>
  <c r="S5" i="6"/>
  <c r="Q5" i="6"/>
  <c r="P5" i="6"/>
  <c r="N5" i="6"/>
  <c r="M5" i="6"/>
  <c r="L5" i="6"/>
  <c r="K5" i="6"/>
  <c r="J5" i="6"/>
  <c r="H5" i="6"/>
  <c r="G5" i="6"/>
  <c r="AV4" i="6"/>
  <c r="AP4" i="6"/>
  <c r="AO4" i="6"/>
  <c r="AK4" i="6"/>
  <c r="AI4" i="6"/>
  <c r="AE4" i="6"/>
  <c r="AC4" i="6"/>
  <c r="W4" i="6"/>
  <c r="Q4" i="6"/>
  <c r="M4" i="6"/>
  <c r="K4" i="6"/>
  <c r="G4" i="6"/>
  <c r="J10" i="4"/>
  <c r="J20" i="4"/>
  <c r="E23" i="4"/>
  <c r="AW23" i="4" s="1"/>
  <c r="D23" i="4"/>
  <c r="AU23" i="4" s="1"/>
  <c r="E22" i="4"/>
  <c r="AW22" i="4" s="1"/>
  <c r="D22" i="4"/>
  <c r="AU22" i="4" s="1"/>
  <c r="AU21" i="4"/>
  <c r="AM21" i="4"/>
  <c r="AG21" i="4"/>
  <c r="AD21" i="4"/>
  <c r="AA21" i="4"/>
  <c r="X21" i="4"/>
  <c r="U21" i="4"/>
  <c r="R21" i="4"/>
  <c r="O21" i="4"/>
  <c r="L21" i="4"/>
  <c r="I21" i="4"/>
  <c r="E21" i="4"/>
  <c r="AW21" i="4" s="1"/>
  <c r="D21" i="4"/>
  <c r="AA20" i="4"/>
  <c r="U20" i="4"/>
  <c r="R20" i="4"/>
  <c r="R5" i="4" s="1"/>
  <c r="I20" i="4"/>
  <c r="E20" i="4"/>
  <c r="AW20" i="4" s="1"/>
  <c r="D20" i="4"/>
  <c r="AU20" i="4" s="1"/>
  <c r="AV19" i="4"/>
  <c r="AT19" i="4"/>
  <c r="AN19" i="4"/>
  <c r="AL19" i="4"/>
  <c r="AM19" i="4" s="1"/>
  <c r="AK19" i="4"/>
  <c r="AI19" i="4"/>
  <c r="AH19" i="4"/>
  <c r="AJ19" i="4" s="1"/>
  <c r="AF19" i="4"/>
  <c r="AG19" i="4" s="1"/>
  <c r="AE19" i="4"/>
  <c r="AC19" i="4"/>
  <c r="AB19" i="4"/>
  <c r="AD19" i="4" s="1"/>
  <c r="Z19" i="4"/>
  <c r="AA19" i="4" s="1"/>
  <c r="Y19" i="4"/>
  <c r="W19" i="4"/>
  <c r="V19" i="4"/>
  <c r="X19" i="4" s="1"/>
  <c r="T19" i="4"/>
  <c r="U19" i="4" s="1"/>
  <c r="S19" i="4"/>
  <c r="Q19" i="4"/>
  <c r="P19" i="4"/>
  <c r="N19" i="4"/>
  <c r="O19" i="4" s="1"/>
  <c r="M19" i="4"/>
  <c r="K19" i="4"/>
  <c r="K4" i="4" s="1"/>
  <c r="J19" i="4"/>
  <c r="H19" i="4"/>
  <c r="G19" i="4"/>
  <c r="E18" i="4"/>
  <c r="AW18" i="4" s="1"/>
  <c r="D18" i="4"/>
  <c r="AU18" i="4" s="1"/>
  <c r="E17" i="4"/>
  <c r="AW17" i="4" s="1"/>
  <c r="D17" i="4"/>
  <c r="AU17" i="4" s="1"/>
  <c r="E16" i="4"/>
  <c r="AW16" i="4" s="1"/>
  <c r="D16" i="4"/>
  <c r="AU16" i="4" s="1"/>
  <c r="AM15" i="4"/>
  <c r="AJ15" i="4"/>
  <c r="AJ5" i="4" s="1"/>
  <c r="AG15" i="4"/>
  <c r="AD15" i="4"/>
  <c r="AD5" i="4" s="1"/>
  <c r="X15" i="4"/>
  <c r="U15" i="4"/>
  <c r="R15" i="4"/>
  <c r="E15" i="4"/>
  <c r="AW15" i="4" s="1"/>
  <c r="D15" i="4"/>
  <c r="AU15" i="4" s="1"/>
  <c r="AV14" i="4"/>
  <c r="AT14" i="4"/>
  <c r="AN14" i="4"/>
  <c r="AL14" i="4"/>
  <c r="AK14" i="4"/>
  <c r="AM14" i="4" s="1"/>
  <c r="AI14" i="4"/>
  <c r="AJ14" i="4" s="1"/>
  <c r="AH14" i="4"/>
  <c r="AF14" i="4"/>
  <c r="AE14" i="4"/>
  <c r="AG14" i="4" s="1"/>
  <c r="AC14" i="4"/>
  <c r="AD14" i="4" s="1"/>
  <c r="AB14" i="4"/>
  <c r="Z14" i="4"/>
  <c r="Y14" i="4"/>
  <c r="AA14" i="4" s="1"/>
  <c r="W14" i="4"/>
  <c r="X14" i="4" s="1"/>
  <c r="V14" i="4"/>
  <c r="T14" i="4"/>
  <c r="S14" i="4"/>
  <c r="U14" i="4" s="1"/>
  <c r="Q14" i="4"/>
  <c r="R14" i="4" s="1"/>
  <c r="P14" i="4"/>
  <c r="N14" i="4"/>
  <c r="M14" i="4"/>
  <c r="O14" i="4" s="1"/>
  <c r="O4" i="4" s="1"/>
  <c r="K14" i="4"/>
  <c r="J14" i="4"/>
  <c r="H14" i="4"/>
  <c r="G14" i="4"/>
  <c r="E14" i="4"/>
  <c r="E13" i="4"/>
  <c r="AW13" i="4" s="1"/>
  <c r="D13" i="4"/>
  <c r="AU13" i="4" s="1"/>
  <c r="AW12" i="4"/>
  <c r="E12" i="4"/>
  <c r="D12" i="4"/>
  <c r="AU12" i="4" s="1"/>
  <c r="AG11" i="4"/>
  <c r="AD11" i="4"/>
  <c r="AA11" i="4"/>
  <c r="X11" i="4"/>
  <c r="U11" i="4"/>
  <c r="R11" i="4"/>
  <c r="O11" i="4"/>
  <c r="L11" i="4"/>
  <c r="I11" i="4"/>
  <c r="E11" i="4"/>
  <c r="F11" i="4" s="1"/>
  <c r="D11" i="4"/>
  <c r="AU11" i="4" s="1"/>
  <c r="AM10" i="4"/>
  <c r="AD10" i="4"/>
  <c r="AA10" i="4"/>
  <c r="X10" i="4"/>
  <c r="U10" i="4"/>
  <c r="R10" i="4"/>
  <c r="O10" i="4"/>
  <c r="O9" i="4" s="1"/>
  <c r="L10" i="4"/>
  <c r="L9" i="4" s="1"/>
  <c r="I10" i="4"/>
  <c r="E10" i="4"/>
  <c r="D10" i="4"/>
  <c r="AU10" i="4" s="1"/>
  <c r="AV9" i="4"/>
  <c r="AT9" i="4"/>
  <c r="AN9" i="4"/>
  <c r="AN4" i="4" s="1"/>
  <c r="AL9" i="4"/>
  <c r="AK9" i="4"/>
  <c r="AI9" i="4"/>
  <c r="AH9" i="4"/>
  <c r="AH4" i="4" s="1"/>
  <c r="AF9" i="4"/>
  <c r="AE9" i="4"/>
  <c r="AC9" i="4"/>
  <c r="AB9" i="4"/>
  <c r="AB4" i="4" s="1"/>
  <c r="Z9" i="4"/>
  <c r="Y9" i="4"/>
  <c r="W9" i="4"/>
  <c r="V9" i="4"/>
  <c r="V4" i="4" s="1"/>
  <c r="T9" i="4"/>
  <c r="S9" i="4"/>
  <c r="Q9" i="4"/>
  <c r="P9" i="4"/>
  <c r="N9" i="4"/>
  <c r="N4" i="4" s="1"/>
  <c r="M9" i="4"/>
  <c r="K9" i="4"/>
  <c r="J9" i="4"/>
  <c r="J4" i="4" s="1"/>
  <c r="H9" i="4"/>
  <c r="G9" i="4"/>
  <c r="D9" i="4"/>
  <c r="AU9" i="4" s="1"/>
  <c r="AV8" i="4"/>
  <c r="AT8" i="4"/>
  <c r="AU8" i="4" s="1"/>
  <c r="N8" i="4"/>
  <c r="H8" i="4"/>
  <c r="E8" i="4" s="1"/>
  <c r="D8" i="4"/>
  <c r="AV7" i="4"/>
  <c r="AW7" i="4" s="1"/>
  <c r="AT7" i="4"/>
  <c r="AN7" i="4"/>
  <c r="AK7" i="4"/>
  <c r="AH7" i="4"/>
  <c r="AE7" i="4"/>
  <c r="V7" i="4"/>
  <c r="S7" i="4"/>
  <c r="Q7" i="4"/>
  <c r="P7" i="4"/>
  <c r="N7" i="4"/>
  <c r="M7" i="4"/>
  <c r="D7" i="4" s="1"/>
  <c r="J7" i="4"/>
  <c r="H7" i="4"/>
  <c r="G7" i="4"/>
  <c r="E7" i="4"/>
  <c r="AV6" i="4"/>
  <c r="AT6" i="4"/>
  <c r="AN6" i="4"/>
  <c r="AK6" i="4"/>
  <c r="AM6" i="4" s="1"/>
  <c r="AI6" i="4"/>
  <c r="AJ6" i="4" s="1"/>
  <c r="AH6" i="4"/>
  <c r="AF6" i="4"/>
  <c r="AE6" i="4"/>
  <c r="AG6" i="4" s="1"/>
  <c r="AC6" i="4"/>
  <c r="AD6" i="4" s="1"/>
  <c r="AB6" i="4"/>
  <c r="Z6" i="4"/>
  <c r="Y6" i="4"/>
  <c r="AA6" i="4" s="1"/>
  <c r="W6" i="4"/>
  <c r="X6" i="4" s="1"/>
  <c r="V6" i="4"/>
  <c r="T6" i="4"/>
  <c r="S6" i="4"/>
  <c r="U6" i="4" s="1"/>
  <c r="Q6" i="4"/>
  <c r="R6" i="4" s="1"/>
  <c r="P6" i="4"/>
  <c r="N6" i="4"/>
  <c r="M6" i="4"/>
  <c r="O6" i="4" s="1"/>
  <c r="K6" i="4"/>
  <c r="L6" i="4" s="1"/>
  <c r="J6" i="4"/>
  <c r="H6" i="4"/>
  <c r="G6" i="4"/>
  <c r="D6" i="4" s="1"/>
  <c r="AU6" i="4" s="1"/>
  <c r="AV5" i="4"/>
  <c r="AT5" i="4"/>
  <c r="AO5" i="4"/>
  <c r="AN5" i="4"/>
  <c r="AM5" i="4"/>
  <c r="AL5" i="4"/>
  <c r="AK5" i="4"/>
  <c r="AI5" i="4"/>
  <c r="AH5" i="4"/>
  <c r="AG5" i="4"/>
  <c r="AF5" i="4"/>
  <c r="AE5" i="4"/>
  <c r="AC5" i="4"/>
  <c r="AB5" i="4"/>
  <c r="AA5" i="4"/>
  <c r="Z5" i="4"/>
  <c r="Y5" i="4"/>
  <c r="X5" i="4"/>
  <c r="W5" i="4"/>
  <c r="V5" i="4"/>
  <c r="U5" i="4"/>
  <c r="T5" i="4"/>
  <c r="S5" i="4"/>
  <c r="Q5" i="4"/>
  <c r="P5" i="4"/>
  <c r="N5" i="4"/>
  <c r="M5" i="4"/>
  <c r="L5" i="4"/>
  <c r="K5" i="4"/>
  <c r="J5" i="4"/>
  <c r="H5" i="4"/>
  <c r="E5" i="4" s="1"/>
  <c r="AW5" i="4" s="1"/>
  <c r="G5" i="4"/>
  <c r="AV4" i="4"/>
  <c r="AP4" i="4"/>
  <c r="AO4" i="4"/>
  <c r="AK4" i="4"/>
  <c r="AI4" i="4"/>
  <c r="AE4" i="4"/>
  <c r="AC4" i="4"/>
  <c r="Y4" i="4"/>
  <c r="W4" i="4"/>
  <c r="S4" i="4"/>
  <c r="Q4" i="4"/>
  <c r="M4" i="4"/>
  <c r="G4" i="4"/>
  <c r="G14" i="3"/>
  <c r="D14" i="3" s="1"/>
  <c r="E15" i="3"/>
  <c r="G15" i="3"/>
  <c r="D15" i="3" s="1"/>
  <c r="H15" i="3"/>
  <c r="E16" i="3"/>
  <c r="F16" i="3" s="1"/>
  <c r="G16" i="3"/>
  <c r="D16" i="3" s="1"/>
  <c r="H16" i="3"/>
  <c r="I16" i="3"/>
  <c r="G17" i="3"/>
  <c r="D17" i="3" s="1"/>
  <c r="H17" i="3"/>
  <c r="E17" i="3" s="1"/>
  <c r="D18" i="3"/>
  <c r="E18" i="3"/>
  <c r="H18" i="3"/>
  <c r="D19" i="3"/>
  <c r="G19" i="3"/>
  <c r="H19" i="3"/>
  <c r="H14" i="3" s="1"/>
  <c r="E14" i="3" s="1"/>
  <c r="D20" i="3"/>
  <c r="E20" i="3"/>
  <c r="F20" i="3"/>
  <c r="F19" i="3" s="1"/>
  <c r="I20" i="3"/>
  <c r="I19" i="3" s="1"/>
  <c r="D21" i="3"/>
  <c r="E21" i="3"/>
  <c r="F21" i="3"/>
  <c r="I21" i="3"/>
  <c r="D22" i="3"/>
  <c r="E22" i="3"/>
  <c r="D23" i="3"/>
  <c r="E23" i="3"/>
  <c r="D24" i="3"/>
  <c r="G24" i="3"/>
  <c r="H24" i="3"/>
  <c r="E24" i="3" s="1"/>
  <c r="F24" i="3" s="1"/>
  <c r="D25" i="3"/>
  <c r="E25" i="3"/>
  <c r="F25" i="3" s="1"/>
  <c r="D26" i="3"/>
  <c r="E26" i="3"/>
  <c r="D27" i="3"/>
  <c r="E27" i="3"/>
  <c r="D28" i="3"/>
  <c r="E28" i="3"/>
  <c r="D29" i="3"/>
  <c r="G29" i="3"/>
  <c r="H29" i="3"/>
  <c r="E29" i="3" s="1"/>
  <c r="F29" i="3" s="1"/>
  <c r="D30" i="3"/>
  <c r="E30" i="3"/>
  <c r="I30" i="3"/>
  <c r="I15" i="3" s="1"/>
  <c r="D31" i="3"/>
  <c r="E31" i="3"/>
  <c r="F31" i="3" s="1"/>
  <c r="I31" i="3"/>
  <c r="D32" i="3"/>
  <c r="E32" i="3"/>
  <c r="D33" i="3"/>
  <c r="E33" i="3"/>
  <c r="AJ6" i="6" l="1"/>
  <c r="D6" i="6"/>
  <c r="AU6" i="6" s="1"/>
  <c r="D7" i="6"/>
  <c r="AU7" i="6" s="1"/>
  <c r="L19" i="4"/>
  <c r="L4" i="4" s="1"/>
  <c r="O19" i="6"/>
  <c r="O4" i="6" s="1"/>
  <c r="N4" i="6"/>
  <c r="L4" i="6"/>
  <c r="D14" i="6"/>
  <c r="AU14" i="6" s="1"/>
  <c r="F15" i="6"/>
  <c r="AW19" i="6"/>
  <c r="E5" i="6"/>
  <c r="AW5" i="6" s="1"/>
  <c r="AB4" i="6"/>
  <c r="AD19" i="6"/>
  <c r="Y4" i="6"/>
  <c r="X19" i="6"/>
  <c r="S4" i="6"/>
  <c r="D5" i="6"/>
  <c r="P4" i="6"/>
  <c r="F19" i="6"/>
  <c r="R19" i="6"/>
  <c r="AU19" i="6"/>
  <c r="AW14" i="6"/>
  <c r="AU5" i="6"/>
  <c r="F14" i="6"/>
  <c r="I6" i="6"/>
  <c r="R9" i="6"/>
  <c r="R4" i="6" s="1"/>
  <c r="U9" i="6"/>
  <c r="U4" i="6" s="1"/>
  <c r="T4" i="6"/>
  <c r="AD9" i="6"/>
  <c r="AG9" i="6"/>
  <c r="AG4" i="6" s="1"/>
  <c r="AF4" i="6"/>
  <c r="AW10" i="6"/>
  <c r="F10" i="6"/>
  <c r="F11" i="6"/>
  <c r="X14" i="6"/>
  <c r="AT4" i="6"/>
  <c r="E6" i="6"/>
  <c r="AW8" i="6"/>
  <c r="E9" i="6"/>
  <c r="AW9" i="6" s="1"/>
  <c r="H4" i="6"/>
  <c r="V4" i="6"/>
  <c r="X9" i="6"/>
  <c r="AA9" i="6"/>
  <c r="AA4" i="6" s="1"/>
  <c r="Z4" i="6"/>
  <c r="AH4" i="6"/>
  <c r="AJ9" i="6"/>
  <c r="AJ4" i="6" s="1"/>
  <c r="AM9" i="6"/>
  <c r="AM4" i="6" s="1"/>
  <c r="AL4" i="6"/>
  <c r="I9" i="6"/>
  <c r="I5" i="6"/>
  <c r="R5" i="6"/>
  <c r="X5" i="6"/>
  <c r="AW15" i="6"/>
  <c r="I19" i="6"/>
  <c r="F21" i="6"/>
  <c r="F10" i="4"/>
  <c r="F9" i="4" s="1"/>
  <c r="D5" i="4"/>
  <c r="F5" i="4" s="1"/>
  <c r="D19" i="4"/>
  <c r="AU19" i="4" s="1"/>
  <c r="AU5" i="4"/>
  <c r="D4" i="4"/>
  <c r="I6" i="4"/>
  <c r="X9" i="4"/>
  <c r="X4" i="4" s="1"/>
  <c r="AA9" i="4"/>
  <c r="AA4" i="4" s="1"/>
  <c r="Z4" i="4"/>
  <c r="AJ9" i="4"/>
  <c r="AJ4" i="4" s="1"/>
  <c r="AM9" i="4"/>
  <c r="AM4" i="4" s="1"/>
  <c r="AL4" i="4"/>
  <c r="I9" i="4"/>
  <c r="I5" i="4"/>
  <c r="AW14" i="4"/>
  <c r="I19" i="4"/>
  <c r="E19" i="4"/>
  <c r="R19" i="4"/>
  <c r="AT4" i="4"/>
  <c r="E6" i="4"/>
  <c r="AU7" i="4"/>
  <c r="AW8" i="4"/>
  <c r="E9" i="4"/>
  <c r="AW9" i="4" s="1"/>
  <c r="H4" i="4"/>
  <c r="P4" i="4"/>
  <c r="R9" i="4"/>
  <c r="R4" i="4" s="1"/>
  <c r="U9" i="4"/>
  <c r="U4" i="4" s="1"/>
  <c r="T4" i="4"/>
  <c r="AD9" i="4"/>
  <c r="AD4" i="4" s="1"/>
  <c r="AG9" i="4"/>
  <c r="AG4" i="4" s="1"/>
  <c r="AF4" i="4"/>
  <c r="AW10" i="4"/>
  <c r="AW11" i="4"/>
  <c r="D14" i="4"/>
  <c r="AU14" i="4" s="1"/>
  <c r="F15" i="4"/>
  <c r="F21" i="4"/>
  <c r="F14" i="3"/>
  <c r="F15" i="3"/>
  <c r="I29" i="3"/>
  <c r="I14" i="3" s="1"/>
  <c r="E19" i="3"/>
  <c r="F5" i="6" l="1"/>
  <c r="X4" i="6"/>
  <c r="AD4" i="6"/>
  <c r="D4" i="6"/>
  <c r="E4" i="6"/>
  <c r="F6" i="6"/>
  <c r="AW6" i="6"/>
  <c r="F9" i="6"/>
  <c r="I4" i="6"/>
  <c r="AU4" i="6"/>
  <c r="E4" i="4"/>
  <c r="F6" i="4"/>
  <c r="AW6" i="4"/>
  <c r="F14" i="4"/>
  <c r="I4" i="4"/>
  <c r="AU4" i="4"/>
  <c r="AW19" i="4"/>
  <c r="F19" i="4"/>
  <c r="F4" i="6" l="1"/>
  <c r="AW4" i="6"/>
  <c r="F4" i="4"/>
  <c r="AW4" i="4"/>
  <c r="AM31" i="3" l="1"/>
  <c r="AG31" i="3"/>
  <c r="AD31" i="3"/>
  <c r="AA31" i="3"/>
  <c r="X31" i="3"/>
  <c r="U31" i="3"/>
  <c r="R31" i="3"/>
  <c r="O31" i="3"/>
  <c r="L31" i="3"/>
  <c r="AA30" i="3"/>
  <c r="U30" i="3"/>
  <c r="R30" i="3"/>
  <c r="AN29" i="3"/>
  <c r="AL29" i="3"/>
  <c r="AK29" i="3"/>
  <c r="AI29" i="3"/>
  <c r="AH29" i="3"/>
  <c r="AF29" i="3"/>
  <c r="AE29" i="3"/>
  <c r="AC29" i="3"/>
  <c r="AB29" i="3"/>
  <c r="Z29" i="3"/>
  <c r="Y29" i="3"/>
  <c r="W29" i="3"/>
  <c r="V29" i="3"/>
  <c r="T29" i="3"/>
  <c r="S29" i="3"/>
  <c r="Q29" i="3"/>
  <c r="P29" i="3"/>
  <c r="N29" i="3"/>
  <c r="M29" i="3"/>
  <c r="K29" i="3"/>
  <c r="J29" i="3"/>
  <c r="AM25" i="3"/>
  <c r="AJ25" i="3"/>
  <c r="AJ15" i="3" s="1"/>
  <c r="AG25" i="3"/>
  <c r="AD25" i="3"/>
  <c r="X25" i="3"/>
  <c r="U25" i="3"/>
  <c r="R25" i="3"/>
  <c r="AN24" i="3"/>
  <c r="AL24" i="3"/>
  <c r="AK24" i="3"/>
  <c r="AI24" i="3"/>
  <c r="AH24" i="3"/>
  <c r="AF24" i="3"/>
  <c r="AE24" i="3"/>
  <c r="AC24" i="3"/>
  <c r="AB24" i="3"/>
  <c r="Z24" i="3"/>
  <c r="Y24" i="3"/>
  <c r="W24" i="3"/>
  <c r="V24" i="3"/>
  <c r="T24" i="3"/>
  <c r="S24" i="3"/>
  <c r="Q24" i="3"/>
  <c r="P24" i="3"/>
  <c r="N24" i="3"/>
  <c r="M24" i="3"/>
  <c r="K24" i="3"/>
  <c r="J24" i="3"/>
  <c r="AG21" i="3"/>
  <c r="AD21" i="3"/>
  <c r="AA21" i="3"/>
  <c r="X21" i="3"/>
  <c r="U21" i="3"/>
  <c r="R21" i="3"/>
  <c r="O21" i="3"/>
  <c r="L21" i="3"/>
  <c r="AM20" i="3"/>
  <c r="AD20" i="3"/>
  <c r="AA20" i="3"/>
  <c r="AA15" i="3" s="1"/>
  <c r="X20" i="3"/>
  <c r="U20" i="3"/>
  <c r="R20" i="3"/>
  <c r="O20" i="3"/>
  <c r="L20" i="3"/>
  <c r="AN19" i="3"/>
  <c r="AL19" i="3"/>
  <c r="AK19" i="3"/>
  <c r="AI19" i="3"/>
  <c r="AH19" i="3"/>
  <c r="AF19" i="3"/>
  <c r="AE19" i="3"/>
  <c r="AC19" i="3"/>
  <c r="AB19" i="3"/>
  <c r="Z19" i="3"/>
  <c r="Y19" i="3"/>
  <c r="W19" i="3"/>
  <c r="V19" i="3"/>
  <c r="T19" i="3"/>
  <c r="S19" i="3"/>
  <c r="Q19" i="3"/>
  <c r="P19" i="3"/>
  <c r="N19" i="3"/>
  <c r="M19" i="3"/>
  <c r="K19" i="3"/>
  <c r="K14" i="3" s="1"/>
  <c r="J19" i="3"/>
  <c r="J14" i="3" s="1"/>
  <c r="N18" i="3"/>
  <c r="AN17" i="3"/>
  <c r="AK17" i="3"/>
  <c r="AH17" i="3"/>
  <c r="AE17" i="3"/>
  <c r="V17" i="3"/>
  <c r="S17" i="3"/>
  <c r="Q17" i="3"/>
  <c r="P17" i="3"/>
  <c r="N17" i="3"/>
  <c r="M17" i="3"/>
  <c r="J17" i="3"/>
  <c r="AN16" i="3"/>
  <c r="AK16" i="3"/>
  <c r="AM16" i="3" s="1"/>
  <c r="AI16" i="3"/>
  <c r="AH16" i="3"/>
  <c r="AF16" i="3"/>
  <c r="AE16" i="3"/>
  <c r="AC16" i="3"/>
  <c r="AB16" i="3"/>
  <c r="Z16" i="3"/>
  <c r="Y16" i="3"/>
  <c r="W16" i="3"/>
  <c r="V16" i="3"/>
  <c r="T16" i="3"/>
  <c r="S16" i="3"/>
  <c r="Q16" i="3"/>
  <c r="P16" i="3"/>
  <c r="N16" i="3"/>
  <c r="M16" i="3"/>
  <c r="K16" i="3"/>
  <c r="J16" i="3"/>
  <c r="AO15" i="3"/>
  <c r="AN15" i="3"/>
  <c r="AL15" i="3"/>
  <c r="AK15" i="3"/>
  <c r="AI15" i="3"/>
  <c r="AH15" i="3"/>
  <c r="AG15" i="3"/>
  <c r="AF15" i="3"/>
  <c r="AE15" i="3"/>
  <c r="AC15" i="3"/>
  <c r="AB15" i="3"/>
  <c r="Z15" i="3"/>
  <c r="Y15" i="3"/>
  <c r="W15" i="3"/>
  <c r="V15" i="3"/>
  <c r="T15" i="3"/>
  <c r="S15" i="3"/>
  <c r="Q15" i="3"/>
  <c r="P15" i="3"/>
  <c r="N15" i="3"/>
  <c r="M15" i="3"/>
  <c r="L15" i="3"/>
  <c r="K15" i="3"/>
  <c r="J15" i="3"/>
  <c r="AP14" i="3"/>
  <c r="AO14" i="3"/>
  <c r="Q14" i="3"/>
  <c r="I20" i="2"/>
  <c r="AI14" i="3" l="1"/>
  <c r="W14" i="3"/>
  <c r="L19" i="3"/>
  <c r="X15" i="3"/>
  <c r="N14" i="3"/>
  <c r="AC14" i="3"/>
  <c r="O19" i="3"/>
  <c r="U15" i="3"/>
  <c r="AM15" i="3"/>
  <c r="O24" i="3"/>
  <c r="U24" i="3"/>
  <c r="AA24" i="3"/>
  <c r="AG24" i="3"/>
  <c r="AM24" i="3"/>
  <c r="L29" i="3"/>
  <c r="L14" i="3" s="1"/>
  <c r="X29" i="3"/>
  <c r="AD29" i="3"/>
  <c r="AJ29" i="3"/>
  <c r="L16" i="3"/>
  <c r="R16" i="3"/>
  <c r="X16" i="3"/>
  <c r="AD16" i="3"/>
  <c r="AJ16" i="3"/>
  <c r="AD15" i="3"/>
  <c r="R15" i="3"/>
  <c r="M14" i="3"/>
  <c r="S14" i="3"/>
  <c r="Y14" i="3"/>
  <c r="AE14" i="3"/>
  <c r="AK14" i="3"/>
  <c r="O16" i="3"/>
  <c r="U16" i="3"/>
  <c r="AA16" i="3"/>
  <c r="AG16" i="3"/>
  <c r="V14" i="3"/>
  <c r="AB14" i="3"/>
  <c r="AH14" i="3"/>
  <c r="AN14" i="3"/>
  <c r="R24" i="3"/>
  <c r="X24" i="3"/>
  <c r="AD24" i="3"/>
  <c r="AJ24" i="3"/>
  <c r="O29" i="3"/>
  <c r="U29" i="3"/>
  <c r="AA29" i="3"/>
  <c r="AG29" i="3"/>
  <c r="AM29" i="3"/>
  <c r="X19" i="3"/>
  <c r="AA19" i="3"/>
  <c r="AA14" i="3" s="1"/>
  <c r="Z14" i="3"/>
  <c r="AJ19" i="3"/>
  <c r="AM19" i="3"/>
  <c r="AL14" i="3"/>
  <c r="R29" i="3"/>
  <c r="P14" i="3"/>
  <c r="R19" i="3"/>
  <c r="U19" i="3"/>
  <c r="T14" i="3"/>
  <c r="AD19" i="3"/>
  <c r="AD14" i="3" s="1"/>
  <c r="AG19" i="3"/>
  <c r="AF14" i="3"/>
  <c r="AA20" i="2"/>
  <c r="AV6" i="2"/>
  <c r="AV19" i="2"/>
  <c r="AT19" i="2"/>
  <c r="AV14" i="2"/>
  <c r="AT14" i="2"/>
  <c r="AV9" i="2"/>
  <c r="AT9" i="2"/>
  <c r="AV8" i="2"/>
  <c r="AT8" i="2"/>
  <c r="AV7" i="2"/>
  <c r="AT7" i="2"/>
  <c r="AT6" i="2"/>
  <c r="AV5" i="2"/>
  <c r="AT5" i="2"/>
  <c r="R14" i="3" l="1"/>
  <c r="U14" i="3"/>
  <c r="AM14" i="3"/>
  <c r="X14" i="3"/>
  <c r="O14" i="3"/>
  <c r="AG14" i="3"/>
  <c r="AJ14" i="3"/>
  <c r="AT4" i="2"/>
  <c r="AV4" i="2"/>
  <c r="W9" i="2"/>
  <c r="W6" i="2"/>
  <c r="W19" i="2"/>
  <c r="W14" i="2"/>
  <c r="AH14" i="2" l="1"/>
  <c r="AA10" i="2"/>
  <c r="T19" i="2" l="1"/>
  <c r="E20" i="2" l="1"/>
  <c r="AW20" i="2" s="1"/>
  <c r="N6" i="2" l="1"/>
  <c r="N5" i="2"/>
  <c r="AN14" i="2" l="1"/>
  <c r="E10" i="2" l="1"/>
  <c r="AW10" i="2" s="1"/>
  <c r="E11" i="2"/>
  <c r="AW11" i="2" s="1"/>
  <c r="E12" i="2"/>
  <c r="AW12" i="2" s="1"/>
  <c r="E13" i="2"/>
  <c r="AW13" i="2" s="1"/>
  <c r="E15" i="2"/>
  <c r="AW15" i="2" s="1"/>
  <c r="E16" i="2"/>
  <c r="AW16" i="2" s="1"/>
  <c r="E17" i="2"/>
  <c r="AW17" i="2" s="1"/>
  <c r="E18" i="2"/>
  <c r="AW18" i="2" s="1"/>
  <c r="E21" i="2"/>
  <c r="AW21" i="2" s="1"/>
  <c r="E22" i="2"/>
  <c r="AW22" i="2" s="1"/>
  <c r="E23" i="2"/>
  <c r="AW23" i="2" s="1"/>
  <c r="AK14" i="2"/>
  <c r="D20" i="2"/>
  <c r="AU20" i="2" s="1"/>
  <c r="AN19" i="2"/>
  <c r="K19" i="2"/>
  <c r="K14" i="2"/>
  <c r="K9" i="2"/>
  <c r="K6" i="2"/>
  <c r="K5" i="2"/>
  <c r="K4" i="2" l="1"/>
  <c r="D23" i="2" l="1"/>
  <c r="AU23" i="2" s="1"/>
  <c r="D22" i="2"/>
  <c r="AU22" i="2" s="1"/>
  <c r="AM21" i="2"/>
  <c r="AG21" i="2"/>
  <c r="AD21" i="2"/>
  <c r="AA21" i="2"/>
  <c r="X21" i="2"/>
  <c r="U21" i="2"/>
  <c r="R21" i="2"/>
  <c r="O21" i="2"/>
  <c r="L21" i="2"/>
  <c r="I21" i="2"/>
  <c r="D21" i="2"/>
  <c r="AU21" i="2" s="1"/>
  <c r="U20" i="2"/>
  <c r="R20" i="2"/>
  <c r="AL19" i="2"/>
  <c r="AK19" i="2"/>
  <c r="AI19" i="2"/>
  <c r="AH19" i="2"/>
  <c r="AF19" i="2"/>
  <c r="AE19" i="2"/>
  <c r="AC19" i="2"/>
  <c r="AB19" i="2"/>
  <c r="Z19" i="2"/>
  <c r="Y19" i="2"/>
  <c r="V19" i="2"/>
  <c r="S19" i="2"/>
  <c r="U19" i="2" s="1"/>
  <c r="Q19" i="2"/>
  <c r="P19" i="2"/>
  <c r="N19" i="2"/>
  <c r="M19" i="2"/>
  <c r="J19" i="2"/>
  <c r="H19" i="2"/>
  <c r="G19" i="2"/>
  <c r="D18" i="2"/>
  <c r="AU18" i="2" s="1"/>
  <c r="D17" i="2"/>
  <c r="AU17" i="2" s="1"/>
  <c r="D16" i="2"/>
  <c r="AU16" i="2" s="1"/>
  <c r="AM15" i="2"/>
  <c r="AJ15" i="2"/>
  <c r="AJ5" i="2" s="1"/>
  <c r="AG15" i="2"/>
  <c r="AG5" i="2" s="1"/>
  <c r="AD15" i="2"/>
  <c r="X15" i="2"/>
  <c r="U15" i="2"/>
  <c r="R15" i="2"/>
  <c r="D15" i="2"/>
  <c r="AU15" i="2" s="1"/>
  <c r="AL14" i="2"/>
  <c r="AI14" i="2"/>
  <c r="AF14" i="2"/>
  <c r="AE14" i="2"/>
  <c r="AC14" i="2"/>
  <c r="AB14" i="2"/>
  <c r="Z14" i="2"/>
  <c r="Y14" i="2"/>
  <c r="V14" i="2"/>
  <c r="T14" i="2"/>
  <c r="S14" i="2"/>
  <c r="Q14" i="2"/>
  <c r="P14" i="2"/>
  <c r="N14" i="2"/>
  <c r="M14" i="2"/>
  <c r="J14" i="2"/>
  <c r="H14" i="2"/>
  <c r="G14" i="2"/>
  <c r="D13" i="2"/>
  <c r="AU13" i="2" s="1"/>
  <c r="D12" i="2"/>
  <c r="AU12" i="2" s="1"/>
  <c r="AG11" i="2"/>
  <c r="AD11" i="2"/>
  <c r="AA11" i="2"/>
  <c r="X11" i="2"/>
  <c r="U11" i="2"/>
  <c r="R11" i="2"/>
  <c r="O11" i="2"/>
  <c r="L11" i="2"/>
  <c r="I11" i="2"/>
  <c r="D11" i="2"/>
  <c r="AU11" i="2" s="1"/>
  <c r="AM10" i="2"/>
  <c r="AD10" i="2"/>
  <c r="AD5" i="2" s="1"/>
  <c r="AA5" i="2"/>
  <c r="X10" i="2"/>
  <c r="U10" i="2"/>
  <c r="R10" i="2"/>
  <c r="O10" i="2"/>
  <c r="L10" i="2"/>
  <c r="L5" i="2" s="1"/>
  <c r="I10" i="2"/>
  <c r="D10" i="2"/>
  <c r="AU10" i="2" s="1"/>
  <c r="AN9" i="2"/>
  <c r="AN4" i="2" s="1"/>
  <c r="AL9" i="2"/>
  <c r="AK9" i="2"/>
  <c r="AI9" i="2"/>
  <c r="AH9" i="2"/>
  <c r="AF9" i="2"/>
  <c r="AE9" i="2"/>
  <c r="AC9" i="2"/>
  <c r="AB9" i="2"/>
  <c r="Z9" i="2"/>
  <c r="Y9" i="2"/>
  <c r="V9" i="2"/>
  <c r="X9" i="2" s="1"/>
  <c r="T9" i="2"/>
  <c r="S9" i="2"/>
  <c r="Q9" i="2"/>
  <c r="P9" i="2"/>
  <c r="N9" i="2"/>
  <c r="M9" i="2"/>
  <c r="J9" i="2"/>
  <c r="H9" i="2"/>
  <c r="H4" i="2" s="1"/>
  <c r="G9" i="2"/>
  <c r="N8" i="2"/>
  <c r="H8" i="2"/>
  <c r="D8" i="2"/>
  <c r="AU8" i="2" s="1"/>
  <c r="AN7" i="2"/>
  <c r="AK7" i="2"/>
  <c r="AH7" i="2"/>
  <c r="AE7" i="2"/>
  <c r="V7" i="2"/>
  <c r="S7" i="2"/>
  <c r="Q7" i="2"/>
  <c r="P7" i="2"/>
  <c r="N7" i="2"/>
  <c r="M7" i="2"/>
  <c r="J7" i="2"/>
  <c r="H7" i="2"/>
  <c r="G7" i="2"/>
  <c r="AN6" i="2"/>
  <c r="AK6" i="2"/>
  <c r="AM6" i="2" s="1"/>
  <c r="AI6" i="2"/>
  <c r="AH6" i="2"/>
  <c r="AF6" i="2"/>
  <c r="AE6" i="2"/>
  <c r="AC6" i="2"/>
  <c r="AB6" i="2"/>
  <c r="Z6" i="2"/>
  <c r="Y6" i="2"/>
  <c r="V6" i="2"/>
  <c r="T6" i="2"/>
  <c r="S6" i="2"/>
  <c r="Q6" i="2"/>
  <c r="P6" i="2"/>
  <c r="M6" i="2"/>
  <c r="J6" i="2"/>
  <c r="L6" i="2" s="1"/>
  <c r="H6" i="2"/>
  <c r="G6" i="2"/>
  <c r="AO5" i="2"/>
  <c r="AN5" i="2"/>
  <c r="AL5" i="2"/>
  <c r="AK5" i="2"/>
  <c r="AI5" i="2"/>
  <c r="AH5" i="2"/>
  <c r="AF5" i="2"/>
  <c r="AE5" i="2"/>
  <c r="AC5" i="2"/>
  <c r="AB5" i="2"/>
  <c r="Z5" i="2"/>
  <c r="Y5" i="2"/>
  <c r="W5" i="2"/>
  <c r="W4" i="2" s="1"/>
  <c r="V5" i="2"/>
  <c r="T5" i="2"/>
  <c r="S5" i="2"/>
  <c r="Q5" i="2"/>
  <c r="P5" i="2"/>
  <c r="M5" i="2"/>
  <c r="J5" i="2"/>
  <c r="H5" i="2"/>
  <c r="G5" i="2"/>
  <c r="AP4" i="2"/>
  <c r="AO4" i="2"/>
  <c r="AD9" i="2" l="1"/>
  <c r="AK4" i="2"/>
  <c r="AM19" i="2"/>
  <c r="AJ9" i="2"/>
  <c r="AF4" i="2"/>
  <c r="AG19" i="2"/>
  <c r="J4" i="2"/>
  <c r="AA19" i="2"/>
  <c r="Z4" i="2"/>
  <c r="D7" i="2"/>
  <c r="AU7" i="2" s="1"/>
  <c r="AL4" i="2"/>
  <c r="AA6" i="2"/>
  <c r="AG6" i="2"/>
  <c r="L9" i="2"/>
  <c r="X5" i="2"/>
  <c r="U5" i="2"/>
  <c r="U6" i="2"/>
  <c r="T4" i="2"/>
  <c r="R9" i="2"/>
  <c r="N4" i="2"/>
  <c r="F11" i="2"/>
  <c r="D6" i="2"/>
  <c r="AU6" i="2" s="1"/>
  <c r="E6" i="2"/>
  <c r="AW6" i="2" s="1"/>
  <c r="O6" i="2"/>
  <c r="E19" i="2"/>
  <c r="AW19" i="2" s="1"/>
  <c r="O19" i="2"/>
  <c r="E8" i="2"/>
  <c r="AW8" i="2" s="1"/>
  <c r="E9" i="2"/>
  <c r="AW9" i="2" s="1"/>
  <c r="AB4" i="2"/>
  <c r="E5" i="2"/>
  <c r="AW5" i="2" s="1"/>
  <c r="R6" i="2"/>
  <c r="AD6" i="2"/>
  <c r="AJ6" i="2"/>
  <c r="E7" i="2"/>
  <c r="AW7" i="2" s="1"/>
  <c r="U9" i="2"/>
  <c r="AA9" i="2"/>
  <c r="AG9" i="2"/>
  <c r="AM9" i="2"/>
  <c r="R5" i="2"/>
  <c r="E14" i="2"/>
  <c r="AW14" i="2" s="1"/>
  <c r="S4" i="2"/>
  <c r="V4" i="2"/>
  <c r="Y4" i="2"/>
  <c r="AE4" i="2"/>
  <c r="R19" i="2"/>
  <c r="X19" i="2"/>
  <c r="AD19" i="2"/>
  <c r="AJ19" i="2"/>
  <c r="F21" i="2"/>
  <c r="AH4" i="2"/>
  <c r="D9" i="2"/>
  <c r="AU9" i="2" s="1"/>
  <c r="AM5" i="2"/>
  <c r="X6" i="2"/>
  <c r="P4" i="2"/>
  <c r="I6" i="2"/>
  <c r="I9" i="2"/>
  <c r="I5" i="2"/>
  <c r="O9" i="2"/>
  <c r="U14" i="2"/>
  <c r="X14" i="2"/>
  <c r="AG14" i="2"/>
  <c r="AJ14" i="2"/>
  <c r="AI4" i="2"/>
  <c r="D5" i="2"/>
  <c r="AU5" i="2" s="1"/>
  <c r="F10" i="2"/>
  <c r="D14" i="2"/>
  <c r="AU14" i="2" s="1"/>
  <c r="G4" i="2"/>
  <c r="M4" i="2"/>
  <c r="O14" i="2"/>
  <c r="R14" i="2"/>
  <c r="Q4" i="2"/>
  <c r="AA14" i="2"/>
  <c r="AD14" i="2"/>
  <c r="AC4" i="2"/>
  <c r="AM14" i="2"/>
  <c r="F15" i="2"/>
  <c r="D19" i="2"/>
  <c r="AU19" i="2" s="1"/>
  <c r="I19" i="2"/>
  <c r="L19" i="2"/>
  <c r="L4" i="2" l="1"/>
  <c r="X4" i="2"/>
  <c r="F14" i="2"/>
  <c r="U4" i="2"/>
  <c r="AD4" i="2"/>
  <c r="AA4" i="2"/>
  <c r="F9" i="2"/>
  <c r="F6" i="2"/>
  <c r="R4" i="2"/>
  <c r="F19" i="2"/>
  <c r="F5" i="2"/>
  <c r="E4" i="2"/>
  <c r="AW4" i="2" s="1"/>
  <c r="AG4" i="2"/>
  <c r="AM4" i="2"/>
  <c r="AJ4" i="2"/>
  <c r="D4" i="2"/>
  <c r="AU4" i="2" s="1"/>
  <c r="O4" i="2"/>
  <c r="I4" i="2"/>
  <c r="F4" i="2" l="1"/>
</calcChain>
</file>

<file path=xl/sharedStrings.xml><?xml version="1.0" encoding="utf-8"?>
<sst xmlns="http://schemas.openxmlformats.org/spreadsheetml/2006/main" count="1427" uniqueCount="108">
  <si>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</si>
  <si>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</si>
  <si>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</si>
  <si>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</si>
  <si>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</si>
  <si>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</si>
  <si>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</si>
  <si>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</si>
  <si>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</si>
  <si>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</si>
  <si>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</si>
  <si>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</si>
  <si>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</si>
  <si>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</si>
  <si>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</si>
  <si>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</si>
  <si>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</si>
  <si>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</si>
  <si>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</si>
  <si>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</si>
  <si>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Муниципальная программа "Развитие культуры и туризма в муниципальном образовании город Мегион на 2014-2020 годы"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</si>
  <si>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</si>
  <si>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</si>
  <si>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</si>
  <si>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</si>
  <si>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</si>
  <si>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</si>
  <si>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Подпрограмма "Обеспечение прав граждан на доступ к культурным ценностям и информации"</t>
  </si>
  <si>
    <t>Подпрограмма "Укрепление единого культурного пространства в городском округе"</t>
  </si>
  <si>
    <t>Подпрограмма "Реализация единой государственной политики в отрасли культура" муниципальной программы "Развитие культуры и туризма в городском округе город Мегион на 2014 -2020 годы"</t>
  </si>
  <si>
    <t>1.2</t>
  </si>
  <si>
    <t>1.4</t>
  </si>
  <si>
    <t>Сетевой график о финансовом обеспечении  реализации муниципальной программы " "Развитие культуры и туризма в муниципальном образовании город Мегион" на 2018 год</t>
  </si>
  <si>
    <t>правильная</t>
  </si>
  <si>
    <t>Разница</t>
  </si>
  <si>
    <t>касса итого на дату отчета с нарастающим</t>
  </si>
  <si>
    <t>касса итого на дату за месяц</t>
  </si>
  <si>
    <t>всего</t>
  </si>
  <si>
    <t>мес</t>
  </si>
  <si>
    <t>ханты</t>
  </si>
  <si>
    <t>фе</t>
  </si>
  <si>
    <t>привл</t>
  </si>
  <si>
    <t>Исполнитель: Глушкова В.А.</t>
  </si>
  <si>
    <t>2019 год</t>
  </si>
  <si>
    <t>Начальник отдела культуры                                                    Л.П.Лалаянц</t>
  </si>
  <si>
    <t>8(34643)96-769 *544#</t>
  </si>
  <si>
    <t xml:space="preserve">Сетевой график о финансовом обеспечении реализации в 2019 году муниципальной программы </t>
  </si>
  <si>
    <t xml:space="preserve"> «Развитие культуры и туризма в городском округе город Мегион на 2019 – 2025 годы»</t>
  </si>
  <si>
    <t>городской округ город Мегион по состоянию на 01.02.2019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</si>
  <si>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</si>
  <si>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</si>
  <si>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</si>
  <si>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</si>
  <si>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план на 2019 год</t>
  </si>
  <si>
    <t xml:space="preserve">фактически профинансировано     </t>
  </si>
  <si>
    <t>в том числе</t>
  </si>
  <si>
    <t>1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</si>
  <si>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</si>
  <si>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</si>
  <si>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</si>
  <si>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</si>
  <si>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</si>
  <si>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</si>
  <si>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</si>
  <si>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</si>
  <si>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</si>
  <si>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</si>
  <si>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</si>
  <si>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</si>
  <si>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</si>
  <si>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</si>
  <si>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</si>
  <si>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</si>
  <si>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</si>
  <si>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</si>
  <si>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</si>
  <si>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</si>
  <si>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</si>
  <si>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</si>
  <si>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</si>
  <si>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</si>
  <si>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</si>
  <si>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</si>
  <si>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</si>
  <si>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</si>
  <si>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</si>
  <si>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</si>
  <si>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</si>
  <si>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</si>
  <si>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</si>
  <si>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</si>
  <si>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</si>
  <si>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Источники финансирования</t>
  </si>
  <si>
    <t>план  на 2019 год</t>
  </si>
  <si>
    <t>План 2019</t>
  </si>
  <si>
    <t>городской округ город Мегион по состоянию на 01.04.2019</t>
  </si>
  <si>
    <t>городской округ город Мегион по состоянию на 01.05.2019</t>
  </si>
  <si>
    <t>Приложение 1</t>
  </si>
  <si>
    <t>Муниципальная программа "Развитие культуры и туризма в муниципальном образовании город Мегион на 2019-2025 годы"</t>
  </si>
  <si>
    <t>городской округ город Мегион по состоянию на 01.06.2019</t>
  </si>
  <si>
    <t>Подпрограмма "Реализация единой государственной политики в отрасли культура" муниципальной программы "Развитие культуры и туризма в городском округе город Мегион на 2019 -2025 годы"</t>
  </si>
  <si>
    <t>городской округ город Мегион по состоянию на 01.07.2019</t>
  </si>
  <si>
    <t>городской округ город Мегион по состоянию на 01.08.2019</t>
  </si>
  <si>
    <t>Исполнитель: Л.П.Волкова</t>
  </si>
  <si>
    <t>8(34643)96-769 *545#</t>
  </si>
  <si>
    <t>ЭТУ ТАБЛИЦУ не показываем никому ! Отправляем без неё! Вносим данные где розовый цвет</t>
  </si>
  <si>
    <t>остаток где разница можно добавить + в август месяц, если сумма большая можно разделить сумму на август сент окт ноябр +</t>
  </si>
  <si>
    <t xml:space="preserve"> Начальник отдела культуры                                             Л.П.Лалаянц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</si>
</sst>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  <numFmt numFmtId="168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8"/>
      <color rgb="FFFF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250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2" fillId="0" borderId="0" xfId="0" applyNumberFormat="1" applyFont="1" applyFill="1" applyBorder="1"/>
    <xf numFmtId="0" fontId="2" fillId="0" borderId="0" xfId="0" applyFont="1" applyFill="1" applyBorder="1"/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0" fontId="7" fillId="2" borderId="0" xfId="0" applyFont="1" applyFill="1"/>
    <xf numFmtId="0" fontId="8" fillId="2" borderId="0" xfId="0" applyFont="1" applyFill="1" applyAlignment="1">
      <alignment horizontal="center" vertical="center" wrapText="1"/>
    </xf>
    <xf numFmtId="0" fontId="7" fillId="2" borderId="0" xfId="0" applyFont="1" applyFill="1" applyBorder="1"/>
    <xf numFmtId="0" fontId="3" fillId="2" borderId="0" xfId="0" applyFont="1" applyFill="1" applyBorder="1" applyAlignment="1">
      <alignment horizontal="center" vertical="center"/>
    </xf>
    <xf numFmtId="165" fontId="3" fillId="2" borderId="0" xfId="0" applyNumberFormat="1" applyFont="1" applyFill="1" applyBorder="1" applyAlignment="1">
      <alignment vertical="center"/>
    </xf>
    <xf numFmtId="4" fontId="3" fillId="8" borderId="6" xfId="0" applyNumberFormat="1" applyFont="1" applyFill="1" applyBorder="1" applyAlignment="1">
      <alignment vertical="center"/>
    </xf>
    <xf numFmtId="4" fontId="3" fillId="9" borderId="0" xfId="0" applyNumberFormat="1" applyFont="1" applyFill="1" applyBorder="1" applyAlignment="1">
      <alignment vertical="center" wrapText="1"/>
    </xf>
    <xf numFmtId="4" fontId="3" fillId="8" borderId="6" xfId="0" applyNumberFormat="1" applyFont="1" applyFill="1" applyBorder="1" applyAlignment="1">
      <alignment vertical="center" wrapText="1"/>
    </xf>
    <xf numFmtId="166" fontId="8" fillId="9" borderId="0" xfId="2" applyFont="1" applyFill="1" applyBorder="1" applyAlignment="1">
      <alignment horizontal="center" vertical="center" wrapText="1"/>
    </xf>
    <xf numFmtId="165" fontId="3" fillId="2" borderId="0" xfId="0" applyNumberFormat="1" applyFont="1" applyFill="1" applyBorder="1" applyAlignment="1">
      <alignment vertical="center" wrapText="1"/>
    </xf>
    <xf numFmtId="4" fontId="7" fillId="8" borderId="6" xfId="0" applyNumberFormat="1" applyFont="1" applyFill="1" applyBorder="1"/>
    <xf numFmtId="0" fontId="7" fillId="8" borderId="6" xfId="0" applyFont="1" applyFill="1" applyBorder="1"/>
    <xf numFmtId="166" fontId="8" fillId="2" borderId="0" xfId="2" applyFont="1" applyFill="1" applyBorder="1" applyAlignment="1">
      <alignment horizontal="center" vertical="center" wrapText="1"/>
    </xf>
    <xf numFmtId="4" fontId="3" fillId="10" borderId="6" xfId="0" applyNumberFormat="1" applyFont="1" applyFill="1" applyBorder="1" applyAlignment="1">
      <alignment vertical="center"/>
    </xf>
    <xf numFmtId="4" fontId="3" fillId="10" borderId="6" xfId="0" applyNumberFormat="1" applyFont="1" applyFill="1" applyBorder="1"/>
    <xf numFmtId="4" fontId="3" fillId="10" borderId="6" xfId="0" applyNumberFormat="1" applyFont="1" applyFill="1" applyBorder="1" applyAlignment="1">
      <alignment vertical="center" wrapText="1"/>
    </xf>
    <xf numFmtId="0" fontId="3" fillId="10" borderId="6" xfId="0" applyFont="1" applyFill="1" applyBorder="1"/>
    <xf numFmtId="0" fontId="3" fillId="0" borderId="0" xfId="0" applyFont="1" applyFill="1"/>
    <xf numFmtId="0" fontId="2" fillId="0" borderId="0" xfId="0" applyFont="1" applyFill="1" applyAlignment="1">
      <alignment horizontal="left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2" fillId="0" borderId="0" xfId="0" applyFont="1" applyFill="1" applyAlignment="1">
      <alignment horizontal="left"/>
    </xf>
    <xf numFmtId="4" fontId="3" fillId="11" borderId="6" xfId="0" applyNumberFormat="1" applyFont="1" applyFill="1" applyBorder="1" applyAlignment="1">
      <alignment vertical="center"/>
    </xf>
    <xf numFmtId="4" fontId="3" fillId="11" borderId="0" xfId="0" applyNumberFormat="1" applyFont="1" applyFill="1" applyBorder="1" applyAlignment="1">
      <alignment vertical="center" wrapText="1"/>
    </xf>
    <xf numFmtId="4" fontId="3" fillId="11" borderId="6" xfId="0" applyNumberFormat="1" applyFont="1" applyFill="1" applyBorder="1" applyAlignment="1">
      <alignment vertical="center" wrapText="1"/>
    </xf>
    <xf numFmtId="0" fontId="2" fillId="6" borderId="0" xfId="0" applyFont="1" applyFill="1" applyAlignment="1">
      <alignment horizontal="center" vertical="center"/>
    </xf>
    <xf numFmtId="165" fontId="3" fillId="6" borderId="0" xfId="0" applyNumberFormat="1" applyFont="1" applyFill="1" applyBorder="1" applyAlignment="1">
      <alignment vertical="center"/>
    </xf>
    <xf numFmtId="4" fontId="3" fillId="6" borderId="6" xfId="0" applyNumberFormat="1" applyFont="1" applyFill="1" applyBorder="1" applyAlignment="1">
      <alignment vertical="center"/>
    </xf>
    <xf numFmtId="4" fontId="3" fillId="6" borderId="0" xfId="0" applyNumberFormat="1" applyFont="1" applyFill="1" applyBorder="1" applyAlignment="1">
      <alignment vertical="center" wrapText="1"/>
    </xf>
    <xf numFmtId="4" fontId="3" fillId="6" borderId="6" xfId="0" applyNumberFormat="1" applyFont="1" applyFill="1" applyBorder="1" applyAlignment="1">
      <alignment vertical="center" wrapText="1"/>
    </xf>
    <xf numFmtId="166" fontId="8" fillId="6" borderId="0" xfId="2" applyFont="1" applyFill="1" applyBorder="1" applyAlignment="1">
      <alignment horizontal="center" vertical="center" wrapText="1"/>
    </xf>
    <xf numFmtId="43" fontId="2" fillId="6" borderId="0" xfId="1" applyFont="1" applyFill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164" fontId="4" fillId="0" borderId="4" xfId="0" applyNumberFormat="1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right" vertical="top" wrapText="1"/>
    </xf>
    <xf numFmtId="164" fontId="2" fillId="0" borderId="4" xfId="0" applyNumberFormat="1" applyFont="1" applyFill="1" applyBorder="1" applyAlignment="1">
      <alignment vertical="top"/>
    </xf>
    <xf numFmtId="164" fontId="2" fillId="2" borderId="4" xfId="0" applyNumberFormat="1" applyFont="1" applyFill="1" applyBorder="1" applyAlignment="1">
      <alignment vertical="top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49" fontId="7" fillId="4" borderId="6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 wrapText="1"/>
    </xf>
    <xf numFmtId="167" fontId="2" fillId="12" borderId="6" xfId="0" applyNumberFormat="1" applyFont="1" applyFill="1" applyBorder="1" applyAlignment="1">
      <alignment horizontal="center" vertical="center" wrapText="1"/>
    </xf>
    <xf numFmtId="167" fontId="2" fillId="1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2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0" fontId="4" fillId="0" borderId="1" xfId="0" applyFont="1" applyFill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2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165" fontId="2" fillId="1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2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4" fontId="3" fillId="12" borderId="6" xfId="0" applyNumberFormat="1" applyFont="1" applyFill="1" applyBorder="1" applyAlignment="1">
      <alignment vertical="center"/>
    </xf>
    <xf numFmtId="4" fontId="3" fillId="12" borderId="6" xfId="0" applyNumberFormat="1" applyFont="1" applyFill="1" applyBorder="1" applyAlignment="1">
      <alignment vertical="center" wrapText="1"/>
    </xf>
    <xf numFmtId="4" fontId="3" fillId="12" borderId="6" xfId="0" applyNumberFormat="1" applyFont="1" applyFill="1" applyBorder="1"/>
    <xf numFmtId="0" fontId="3" fillId="12" borderId="6" xfId="0" applyFont="1" applyFill="1" applyBorder="1"/>
    <xf numFmtId="2" fontId="2" fillId="4" borderId="6" xfId="0" applyNumberFormat="1" applyFont="1" applyFill="1" applyBorder="1" applyAlignment="1">
      <alignment horizontal="center" vertical="center"/>
    </xf>
    <xf numFmtId="168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7" fillId="8" borderId="2" xfId="0" applyFont="1" applyFill="1" applyBorder="1" applyAlignment="1">
      <alignment horizontal="center" vertical="center"/>
    </xf>
    <xf numFmtId="0" fontId="7" fillId="8" borderId="7" xfId="0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/>
    </xf>
    <xf numFmtId="0" fontId="7" fillId="9" borderId="8" xfId="0" applyFont="1" applyFill="1" applyBorder="1" applyAlignment="1">
      <alignment horizontal="center" vertical="center"/>
    </xf>
    <xf numFmtId="166" fontId="8" fillId="8" borderId="2" xfId="2" applyFont="1" applyFill="1" applyBorder="1" applyAlignment="1">
      <alignment horizontal="center" vertical="center" wrapText="1"/>
    </xf>
    <xf numFmtId="166" fontId="8" fillId="8" borderId="7" xfId="2" applyFont="1" applyFill="1" applyBorder="1" applyAlignment="1">
      <alignment horizontal="center" vertical="center" wrapText="1"/>
    </xf>
    <xf numFmtId="166" fontId="8" fillId="9" borderId="9" xfId="2" applyFont="1" applyFill="1" applyBorder="1" applyAlignment="1">
      <alignment horizontal="center" vertical="center" wrapText="1"/>
    </xf>
    <xf numFmtId="166" fontId="8" fillId="9" borderId="10" xfId="2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Fill="1"/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164" fontId="2" fillId="6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7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1" fillId="0" borderId="0" xfId="0" applyFont="1" applyFill="1" applyAlignment="1">
      <alignment horizontal="right" vertical="top"/>
    </xf>
    <xf numFmtId="0" fontId="0" fillId="0" borderId="0" xfId="0" applyAlignment="1">
      <alignment horizontal="right" vertical="top"/>
    </xf>
    <xf numFmtId="0" fontId="2" fillId="0" borderId="9" xfId="0" applyFont="1" applyBorder="1" applyAlignment="1">
      <alignment horizontal="center" vertical="center" wrapText="1"/>
    </xf>
    <xf numFmtId="0" fontId="0" fillId="0" borderId="10" xfId="0" applyBorder="1" applyAlignment="1"/>
    <xf numFmtId="0" fontId="0" fillId="0" borderId="13" xfId="0" applyBorder="1" applyAlignment="1"/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3" fillId="0" borderId="1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4" fontId="4" fillId="0" borderId="9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4" xfId="0" applyBorder="1" applyAlignment="1">
      <alignment horizontal="center"/>
    </xf>
    <xf numFmtId="164" fontId="4" fillId="0" borderId="4" xfId="0" applyNumberFormat="1" applyFont="1" applyFill="1" applyBorder="1" applyAlignment="1">
      <alignment vertical="top"/>
    </xf>
    <xf numFmtId="0" fontId="12" fillId="0" borderId="4" xfId="0" applyFont="1" applyBorder="1" applyAlignment="1">
      <alignment vertical="top"/>
    </xf>
    <xf numFmtId="0" fontId="4" fillId="0" borderId="0" xfId="0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right" vertical="top"/>
    </xf>
    <xf numFmtId="164" fontId="2" fillId="0" borderId="5" xfId="0" applyNumberFormat="1" applyFont="1" applyFill="1" applyBorder="1" applyAlignment="1">
      <alignment horizontal="right" vertical="top"/>
    </xf>
    <xf numFmtId="164" fontId="2" fillId="6" borderId="3" xfId="0" applyNumberFormat="1" applyFont="1" applyFill="1" applyBorder="1" applyAlignment="1">
      <alignment horizontal="center" vertical="center" wrapText="1"/>
    </xf>
    <xf numFmtId="164" fontId="2" fillId="6" borderId="4" xfId="0" applyNumberFormat="1" applyFont="1" applyFill="1" applyBorder="1" applyAlignment="1">
      <alignment horizontal="center" vertical="center" wrapText="1"/>
    </xf>
    <xf numFmtId="164" fontId="2" fillId="6" borderId="5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164" fontId="2" fillId="7" borderId="3" xfId="0" applyNumberFormat="1" applyFont="1" applyFill="1" applyBorder="1" applyAlignment="1">
      <alignment horizontal="center" vertical="center" wrapText="1"/>
    </xf>
    <xf numFmtId="164" fontId="2" fillId="7" borderId="4" xfId="0" applyNumberFormat="1" applyFont="1" applyFill="1" applyBorder="1" applyAlignment="1">
      <alignment horizontal="center" vertical="center" wrapText="1"/>
    </xf>
    <xf numFmtId="164" fontId="2" fillId="7" borderId="5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0" fillId="0" borderId="8" xfId="0" applyBorder="1" applyAlignment="1"/>
    <xf numFmtId="0" fontId="0" fillId="0" borderId="7" xfId="0" applyBorder="1" applyAlignment="1"/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3" xfId="0" applyBorder="1" applyAlignment="1">
      <alignment wrapText="1"/>
    </xf>
    <xf numFmtId="0" fontId="4" fillId="0" borderId="3" xfId="0" applyFont="1" applyFill="1" applyBorder="1" applyAlignment="1">
      <alignment horizontal="center" vertical="top" wrapText="1"/>
    </xf>
    <xf numFmtId="0" fontId="0" fillId="0" borderId="4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4" xfId="0" applyBorder="1" applyAlignment="1">
      <alignment vertical="top"/>
    </xf>
    <xf numFmtId="164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vertical="top"/>
    </xf>
    <xf numFmtId="164" fontId="2" fillId="2" borderId="0" xfId="0" applyNumberFormat="1" applyFont="1" applyFill="1" applyAlignment="1">
      <alignment horizontal="right" vertical="top"/>
    </xf>
    <xf numFmtId="0" fontId="0" fillId="6" borderId="0" xfId="0" applyFill="1" applyAlignment="1">
      <alignment vertical="top" wrapText="1"/>
    </xf>
    <xf numFmtId="164" fontId="2" fillId="5" borderId="6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7"/>
  <sheetViews>
    <sheetView view="pageBreakPreview" zoomScale="70" zoomScaleNormal="100" zoomScaleSheetLayoutView="70" workbookViewId="0">
      <selection activeCell="B4" sqref="B4:B8"/>
    </sheetView>
  </sheetViews>
  <sheetFormatPr defaultRowHeight="15" x14ac:dyDescent="0.25"/>
  <cols>
    <col min="1" max="1" width="4.5703125" customWidth="1"/>
    <col min="2" max="2" width="27.28515625" customWidth="1"/>
    <col min="3" max="3" width="9.28515625" customWidth="1"/>
    <col min="4" max="4" width="10.28515625" customWidth="1"/>
    <col min="5" max="5" width="10" customWidth="1"/>
    <col min="6" max="6" width="7.5703125" customWidth="1"/>
    <col min="7" max="8" width="9.28515625" customWidth="1"/>
    <col min="9" max="9" width="8.5703125" customWidth="1"/>
    <col min="10" max="10" width="9.28515625" customWidth="1"/>
    <col min="11" max="11" width="11.28515625" customWidth="1"/>
    <col min="12" max="12" width="8" customWidth="1"/>
    <col min="13" max="13" width="8.28515625" customWidth="1"/>
    <col min="14" max="14" width="8.5703125" style="32" customWidth="1"/>
    <col min="15" max="15" width="7.28515625" customWidth="1"/>
    <col min="16" max="17" width="9.28515625" style="32" customWidth="1"/>
    <col min="18" max="18" width="6.140625" style="32" customWidth="1"/>
    <col min="19" max="19" width="9.28515625" customWidth="1"/>
    <col min="20" max="20" width="9.28515625" style="32" customWidth="1"/>
    <col min="21" max="21" width="7.28515625" customWidth="1"/>
    <col min="22" max="22" width="10.85546875" customWidth="1"/>
    <col min="23" max="23" width="8.7109375" customWidth="1"/>
    <col min="24" max="24" width="5.7109375" customWidth="1"/>
    <col min="25" max="25" width="9.28515625" customWidth="1"/>
    <col min="26" max="26" width="8.28515625" customWidth="1"/>
    <col min="27" max="27" width="6" customWidth="1"/>
    <col min="28" max="28" width="8.42578125" customWidth="1"/>
    <col min="29" max="29" width="9.28515625" customWidth="1"/>
    <col min="30" max="30" width="5.7109375" customWidth="1"/>
    <col min="31" max="31" width="11.28515625" customWidth="1"/>
    <col min="32" max="32" width="7.28515625" customWidth="1"/>
    <col min="33" max="33" width="5.5703125" customWidth="1"/>
    <col min="34" max="34" width="10.5703125" customWidth="1"/>
    <col min="35" max="35" width="10.42578125" customWidth="1"/>
    <col min="36" max="36" width="5.7109375" customWidth="1"/>
    <col min="37" max="37" width="9.42578125" customWidth="1"/>
    <col min="38" max="38" width="10.28515625" customWidth="1"/>
    <col min="39" max="39" width="8.5703125" customWidth="1"/>
    <col min="40" max="40" width="8.140625" customWidth="1"/>
    <col min="41" max="42" width="4.5703125" customWidth="1"/>
    <col min="43" max="43" width="2.7109375" customWidth="1"/>
    <col min="45" max="45" width="7.28515625" customWidth="1"/>
    <col min="46" max="46" width="12.7109375" customWidth="1"/>
    <col min="47" max="47" width="13.28515625" customWidth="1"/>
    <col min="48" max="48" width="16.140625" customWidth="1"/>
    <col min="49" max="49" width="17.5703125" customWidth="1"/>
    <col min="50" max="50" width="13" customWidth="1"/>
    <col min="51" max="51" width="12.28515625" customWidth="1"/>
  </cols>
  <sheetData>
    <row r="1" spans="1:51" ht="15.75" x14ac:dyDescent="0.25">
      <c r="A1" s="4"/>
      <c r="B1" s="5"/>
      <c r="C1" s="6"/>
      <c r="D1" s="182" t="s">
        <v>32</v>
      </c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7"/>
      <c r="Q1" s="7"/>
      <c r="R1" s="8"/>
      <c r="S1" s="8"/>
      <c r="T1" s="8"/>
      <c r="U1" s="8"/>
      <c r="V1" s="8"/>
      <c r="W1" s="9"/>
      <c r="X1" s="8"/>
      <c r="Y1" s="8"/>
      <c r="Z1" s="9"/>
      <c r="AA1" s="9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4"/>
      <c r="AQ1" s="4"/>
      <c r="AR1" s="4"/>
      <c r="AS1" s="53"/>
      <c r="AT1" s="53" t="s">
        <v>33</v>
      </c>
      <c r="AU1" s="53"/>
      <c r="AV1" s="53"/>
      <c r="AW1" s="54"/>
      <c r="AX1" s="4"/>
      <c r="AY1" s="4"/>
    </row>
    <row r="2" spans="1:51" ht="15" customHeight="1" x14ac:dyDescent="0.25">
      <c r="A2" s="164" t="s">
        <v>0</v>
      </c>
      <c r="B2" s="164" t="s">
        <v>1</v>
      </c>
      <c r="C2" s="148" t="s">
        <v>2</v>
      </c>
      <c r="D2" s="183" t="s">
        <v>43</v>
      </c>
      <c r="E2" s="184"/>
      <c r="F2" s="185"/>
      <c r="G2" s="186" t="s">
        <v>3</v>
      </c>
      <c r="H2" s="187"/>
      <c r="I2" s="188"/>
      <c r="J2" s="186" t="s">
        <v>4</v>
      </c>
      <c r="K2" s="187"/>
      <c r="L2" s="188"/>
      <c r="M2" s="177" t="s">
        <v>5</v>
      </c>
      <c r="N2" s="178"/>
      <c r="O2" s="179"/>
      <c r="P2" s="177" t="s">
        <v>6</v>
      </c>
      <c r="Q2" s="178"/>
      <c r="R2" s="179"/>
      <c r="S2" s="175" t="s">
        <v>7</v>
      </c>
      <c r="T2" s="175"/>
      <c r="U2" s="175"/>
      <c r="V2" s="180" t="s">
        <v>8</v>
      </c>
      <c r="W2" s="180"/>
      <c r="X2" s="180"/>
      <c r="Y2" s="175" t="s">
        <v>9</v>
      </c>
      <c r="Z2" s="175"/>
      <c r="AA2" s="175"/>
      <c r="AB2" s="181" t="s">
        <v>10</v>
      </c>
      <c r="AC2" s="181"/>
      <c r="AD2" s="181"/>
      <c r="AE2" s="181" t="s">
        <v>11</v>
      </c>
      <c r="AF2" s="181"/>
      <c r="AG2" s="181"/>
      <c r="AH2" s="174" t="s">
        <v>12</v>
      </c>
      <c r="AI2" s="174"/>
      <c r="AJ2" s="174"/>
      <c r="AK2" s="175" t="s">
        <v>13</v>
      </c>
      <c r="AL2" s="175"/>
      <c r="AM2" s="175"/>
      <c r="AN2" s="176" t="s">
        <v>14</v>
      </c>
      <c r="AO2" s="176"/>
      <c r="AP2" s="176"/>
      <c r="AQ2" s="10"/>
      <c r="AR2" s="10"/>
      <c r="AS2" s="55"/>
      <c r="AT2" s="156" t="s">
        <v>94</v>
      </c>
      <c r="AU2" s="158" t="s">
        <v>34</v>
      </c>
      <c r="AV2" s="160" t="s">
        <v>35</v>
      </c>
      <c r="AW2" s="162" t="s">
        <v>36</v>
      </c>
      <c r="AX2" s="164" t="s">
        <v>1</v>
      </c>
      <c r="AY2" s="148" t="s">
        <v>2</v>
      </c>
    </row>
    <row r="3" spans="1:51" ht="25.5" x14ac:dyDescent="0.25">
      <c r="A3" s="165"/>
      <c r="B3" s="165"/>
      <c r="C3" s="149"/>
      <c r="D3" s="11" t="s">
        <v>15</v>
      </c>
      <c r="E3" s="29" t="s">
        <v>16</v>
      </c>
      <c r="F3" s="12" t="s">
        <v>17</v>
      </c>
      <c r="G3" s="13" t="s">
        <v>18</v>
      </c>
      <c r="H3" s="30" t="s">
        <v>19</v>
      </c>
      <c r="I3" s="14" t="s">
        <v>17</v>
      </c>
      <c r="J3" s="13" t="s">
        <v>18</v>
      </c>
      <c r="K3" s="73" t="s">
        <v>19</v>
      </c>
      <c r="L3" s="14" t="s">
        <v>17</v>
      </c>
      <c r="M3" s="13" t="s">
        <v>18</v>
      </c>
      <c r="N3" s="31" t="s">
        <v>19</v>
      </c>
      <c r="O3" s="14" t="s">
        <v>17</v>
      </c>
      <c r="P3" s="13" t="s">
        <v>18</v>
      </c>
      <c r="Q3" s="43" t="s">
        <v>19</v>
      </c>
      <c r="R3" s="43" t="s">
        <v>17</v>
      </c>
      <c r="S3" s="13" t="s">
        <v>18</v>
      </c>
      <c r="T3" s="44" t="s">
        <v>19</v>
      </c>
      <c r="U3" s="14" t="s">
        <v>17</v>
      </c>
      <c r="V3" s="13" t="s">
        <v>18</v>
      </c>
      <c r="W3" s="29" t="s">
        <v>19</v>
      </c>
      <c r="X3" s="14" t="s">
        <v>17</v>
      </c>
      <c r="Y3" s="13" t="s">
        <v>18</v>
      </c>
      <c r="Z3" s="29" t="s">
        <v>19</v>
      </c>
      <c r="AA3" s="30" t="s">
        <v>17</v>
      </c>
      <c r="AB3" s="13" t="s">
        <v>18</v>
      </c>
      <c r="AC3" s="29" t="s">
        <v>19</v>
      </c>
      <c r="AD3" s="14" t="s">
        <v>17</v>
      </c>
      <c r="AE3" s="13" t="s">
        <v>18</v>
      </c>
      <c r="AF3" s="29" t="s">
        <v>19</v>
      </c>
      <c r="AG3" s="14" t="s">
        <v>17</v>
      </c>
      <c r="AH3" s="13" t="s">
        <v>18</v>
      </c>
      <c r="AI3" s="29" t="s">
        <v>19</v>
      </c>
      <c r="AJ3" s="14" t="s">
        <v>17</v>
      </c>
      <c r="AK3" s="13" t="s">
        <v>18</v>
      </c>
      <c r="AL3" s="29" t="s">
        <v>19</v>
      </c>
      <c r="AM3" s="14" t="s">
        <v>17</v>
      </c>
      <c r="AN3" s="15" t="s">
        <v>18</v>
      </c>
      <c r="AO3" s="29" t="s">
        <v>19</v>
      </c>
      <c r="AP3" s="16" t="s">
        <v>17</v>
      </c>
      <c r="AQ3" s="10"/>
      <c r="AR3" s="10"/>
      <c r="AS3" s="56"/>
      <c r="AT3" s="157"/>
      <c r="AU3" s="159"/>
      <c r="AV3" s="161"/>
      <c r="AW3" s="163"/>
      <c r="AX3" s="165"/>
      <c r="AY3" s="149"/>
    </row>
    <row r="4" spans="1:51" ht="28.5" customHeight="1" x14ac:dyDescent="0.25">
      <c r="A4" s="171"/>
      <c r="B4" s="150" t="s">
        <v>98</v>
      </c>
      <c r="C4" s="18" t="s">
        <v>21</v>
      </c>
      <c r="D4" s="51">
        <f>G4+J4+M4+P4+S4+V4+Y4+AB4+AE4+AH4+AK4+AN4</f>
        <v>415765.2</v>
      </c>
      <c r="E4" s="48">
        <f>H4+K4+N4+Q4+T4+W4+Z4+AC4+AF4+AI4+AL4+AO4</f>
        <v>19</v>
      </c>
      <c r="F4" s="33">
        <f>E4/D4*100</f>
        <v>4.5698870420131359E-3</v>
      </c>
      <c r="G4" s="34">
        <f>G9+G14+G19</f>
        <v>13280.8</v>
      </c>
      <c r="H4" s="35">
        <f t="shared" ref="H4:AP7" si="0">H9+H14+H19</f>
        <v>19</v>
      </c>
      <c r="I4" s="34" t="e">
        <f t="shared" si="0"/>
        <v>#DIV/0!</v>
      </c>
      <c r="J4" s="34">
        <f t="shared" si="0"/>
        <v>32912.5</v>
      </c>
      <c r="K4" s="35">
        <f t="shared" si="0"/>
        <v>0</v>
      </c>
      <c r="L4" s="34" t="e">
        <f t="shared" si="0"/>
        <v>#DIV/0!</v>
      </c>
      <c r="M4" s="34">
        <f t="shared" si="0"/>
        <v>36868.1</v>
      </c>
      <c r="N4" s="36">
        <f t="shared" si="0"/>
        <v>0</v>
      </c>
      <c r="O4" s="34">
        <f t="shared" si="0"/>
        <v>0</v>
      </c>
      <c r="P4" s="34">
        <f t="shared" si="0"/>
        <v>34475.299999999996</v>
      </c>
      <c r="Q4" s="36">
        <f t="shared" si="0"/>
        <v>0</v>
      </c>
      <c r="R4" s="36">
        <f t="shared" si="0"/>
        <v>0</v>
      </c>
      <c r="S4" s="34">
        <f t="shared" si="0"/>
        <v>45564.3</v>
      </c>
      <c r="T4" s="36">
        <f t="shared" si="0"/>
        <v>0</v>
      </c>
      <c r="U4" s="34">
        <f t="shared" si="0"/>
        <v>0</v>
      </c>
      <c r="V4" s="34">
        <f t="shared" si="0"/>
        <v>47875.899999999994</v>
      </c>
      <c r="W4" s="46">
        <f>W5+W6+W7+W8</f>
        <v>0</v>
      </c>
      <c r="X4" s="34">
        <f t="shared" si="0"/>
        <v>0</v>
      </c>
      <c r="Y4" s="34">
        <f t="shared" si="0"/>
        <v>39916.300000000003</v>
      </c>
      <c r="Z4" s="34">
        <f t="shared" si="0"/>
        <v>0</v>
      </c>
      <c r="AA4" s="34">
        <f t="shared" si="0"/>
        <v>0</v>
      </c>
      <c r="AB4" s="34">
        <f t="shared" si="0"/>
        <v>38991</v>
      </c>
      <c r="AC4" s="34">
        <f t="shared" si="0"/>
        <v>0</v>
      </c>
      <c r="AD4" s="34">
        <f t="shared" si="0"/>
        <v>0</v>
      </c>
      <c r="AE4" s="34">
        <f t="shared" si="0"/>
        <v>34181.599999999999</v>
      </c>
      <c r="AF4" s="34">
        <f t="shared" si="0"/>
        <v>0</v>
      </c>
      <c r="AG4" s="34">
        <f t="shared" si="0"/>
        <v>0</v>
      </c>
      <c r="AH4" s="34">
        <f t="shared" si="0"/>
        <v>31096.699999999997</v>
      </c>
      <c r="AI4" s="34">
        <f t="shared" si="0"/>
        <v>0</v>
      </c>
      <c r="AJ4" s="34">
        <f t="shared" si="0"/>
        <v>0</v>
      </c>
      <c r="AK4" s="34">
        <f t="shared" si="0"/>
        <v>32071</v>
      </c>
      <c r="AL4" s="34">
        <f t="shared" si="0"/>
        <v>0</v>
      </c>
      <c r="AM4" s="34">
        <f t="shared" si="0"/>
        <v>0</v>
      </c>
      <c r="AN4" s="34">
        <f t="shared" si="0"/>
        <v>28531.7</v>
      </c>
      <c r="AO4" s="34">
        <f t="shared" si="0"/>
        <v>0</v>
      </c>
      <c r="AP4" s="34">
        <f t="shared" si="0"/>
        <v>0</v>
      </c>
      <c r="AQ4" s="19"/>
      <c r="AR4" s="20"/>
      <c r="AS4" s="57" t="s">
        <v>37</v>
      </c>
      <c r="AT4" s="79">
        <f>AT5+AT6+AT7+AT8</f>
        <v>415765.2</v>
      </c>
      <c r="AU4" s="80">
        <f>AT4-D4</f>
        <v>0</v>
      </c>
      <c r="AV4" s="81">
        <f>AV5+AV6+AV7+AV8</f>
        <v>19</v>
      </c>
      <c r="AW4" s="61">
        <f>AV4-E4</f>
        <v>0</v>
      </c>
      <c r="AX4" s="150" t="s">
        <v>20</v>
      </c>
      <c r="AY4" s="18" t="s">
        <v>21</v>
      </c>
    </row>
    <row r="5" spans="1:51" ht="39" customHeight="1" x14ac:dyDescent="0.25">
      <c r="A5" s="172"/>
      <c r="B5" s="151"/>
      <c r="C5" s="21" t="s">
        <v>22</v>
      </c>
      <c r="D5" s="51">
        <f>G5+J5+M5+P5+S5+V5+Y5+AB5+AE5+AH5+AK5+AN5</f>
        <v>413561.10000000003</v>
      </c>
      <c r="E5" s="48">
        <f t="shared" ref="E5:E23" si="1">H5+K5+N5+Q5+T5+W5+Z5+AC5+AF5+AI5+AL5+AO5</f>
        <v>19</v>
      </c>
      <c r="F5" s="33">
        <f t="shared" ref="F5:F21" si="2">E5/D5*100</f>
        <v>4.5942425436048019E-3</v>
      </c>
      <c r="G5" s="34">
        <f>G10+G15+G20</f>
        <v>13280.8</v>
      </c>
      <c r="H5" s="35">
        <f t="shared" si="0"/>
        <v>19</v>
      </c>
      <c r="I5" s="34" t="e">
        <f t="shared" si="0"/>
        <v>#DIV/0!</v>
      </c>
      <c r="J5" s="34">
        <f t="shared" si="0"/>
        <v>32912.5</v>
      </c>
      <c r="K5" s="35">
        <f t="shared" si="0"/>
        <v>0</v>
      </c>
      <c r="L5" s="34">
        <f t="shared" si="0"/>
        <v>0</v>
      </c>
      <c r="M5" s="34">
        <f t="shared" si="0"/>
        <v>36815.800000000003</v>
      </c>
      <c r="N5" s="36">
        <f>N10+N15+N20</f>
        <v>0</v>
      </c>
      <c r="O5" s="34">
        <v>0</v>
      </c>
      <c r="P5" s="34">
        <f t="shared" si="0"/>
        <v>34357.899999999994</v>
      </c>
      <c r="Q5" s="36">
        <f t="shared" si="0"/>
        <v>0</v>
      </c>
      <c r="R5" s="36">
        <f t="shared" si="0"/>
        <v>0</v>
      </c>
      <c r="S5" s="34">
        <f t="shared" si="0"/>
        <v>43867.1</v>
      </c>
      <c r="T5" s="36">
        <f t="shared" si="0"/>
        <v>0</v>
      </c>
      <c r="U5" s="34">
        <f t="shared" si="0"/>
        <v>0</v>
      </c>
      <c r="V5" s="34">
        <f t="shared" si="0"/>
        <v>47827.5</v>
      </c>
      <c r="W5" s="46">
        <f t="shared" si="0"/>
        <v>0</v>
      </c>
      <c r="X5" s="34">
        <f t="shared" si="0"/>
        <v>0</v>
      </c>
      <c r="Y5" s="34">
        <f t="shared" si="0"/>
        <v>39916.300000000003</v>
      </c>
      <c r="Z5" s="34">
        <f t="shared" si="0"/>
        <v>0</v>
      </c>
      <c r="AA5" s="34">
        <f t="shared" si="0"/>
        <v>0</v>
      </c>
      <c r="AB5" s="34">
        <f t="shared" si="0"/>
        <v>38931.5</v>
      </c>
      <c r="AC5" s="34">
        <f t="shared" si="0"/>
        <v>0</v>
      </c>
      <c r="AD5" s="34">
        <f t="shared" si="0"/>
        <v>0</v>
      </c>
      <c r="AE5" s="34">
        <f t="shared" si="0"/>
        <v>34030.1</v>
      </c>
      <c r="AF5" s="34">
        <f t="shared" si="0"/>
        <v>0</v>
      </c>
      <c r="AG5" s="34">
        <f t="shared" si="0"/>
        <v>0</v>
      </c>
      <c r="AH5" s="34">
        <f t="shared" si="0"/>
        <v>31049.899999999998</v>
      </c>
      <c r="AI5" s="34">
        <f t="shared" si="0"/>
        <v>0</v>
      </c>
      <c r="AJ5" s="34">
        <f t="shared" si="0"/>
        <v>0</v>
      </c>
      <c r="AK5" s="34">
        <f t="shared" si="0"/>
        <v>32040</v>
      </c>
      <c r="AL5" s="34">
        <f t="shared" si="0"/>
        <v>0</v>
      </c>
      <c r="AM5" s="34">
        <f t="shared" si="0"/>
        <v>0</v>
      </c>
      <c r="AN5" s="34">
        <f t="shared" si="0"/>
        <v>28531.7</v>
      </c>
      <c r="AO5" s="34">
        <f t="shared" si="0"/>
        <v>0</v>
      </c>
      <c r="AP5" s="89">
        <v>0</v>
      </c>
      <c r="AQ5" s="22"/>
      <c r="AR5" s="10"/>
      <c r="AS5" s="62" t="s">
        <v>38</v>
      </c>
      <c r="AT5" s="79">
        <f>AT10+AT15+AT20</f>
        <v>413561.1</v>
      </c>
      <c r="AU5" s="80">
        <f t="shared" ref="AU5:AU23" si="3">AT5-D5</f>
        <v>0</v>
      </c>
      <c r="AV5" s="81">
        <f>AV10+AV15+AV20</f>
        <v>19</v>
      </c>
      <c r="AW5" s="61">
        <f t="shared" ref="AW5:AW23" si="4">AV5-E5</f>
        <v>0</v>
      </c>
      <c r="AX5" s="151"/>
      <c r="AY5" s="21" t="s">
        <v>22</v>
      </c>
    </row>
    <row r="6" spans="1:51" ht="26.25" customHeight="1" x14ac:dyDescent="0.25">
      <c r="A6" s="172"/>
      <c r="B6" s="151"/>
      <c r="C6" s="21" t="s">
        <v>23</v>
      </c>
      <c r="D6" s="51">
        <f t="shared" ref="D6:D18" si="5">G6+J6+M6+P6+S6+V6+Y6+AB6+AE6+AH6+AK6+AN6</f>
        <v>2186.9000000000005</v>
      </c>
      <c r="E6" s="48">
        <f>H6+K6+N6+Q6+T6+W6+Z6+AC6+AF6+AI6+AL6+AO6</f>
        <v>0</v>
      </c>
      <c r="F6" s="33">
        <f t="shared" si="2"/>
        <v>0</v>
      </c>
      <c r="G6" s="34">
        <f>G11+G16+G21</f>
        <v>0</v>
      </c>
      <c r="H6" s="35">
        <f>H11+H21</f>
        <v>0</v>
      </c>
      <c r="I6" s="35" t="e">
        <f t="shared" ref="I6:I21" si="6">H6/G6*100</f>
        <v>#DIV/0!</v>
      </c>
      <c r="J6" s="34">
        <f>J11+J16+J21</f>
        <v>0</v>
      </c>
      <c r="K6" s="35">
        <f>K11+K16+K21</f>
        <v>0</v>
      </c>
      <c r="L6" s="35" t="e">
        <f t="shared" ref="L6:L21" si="7">K6/J6*100</f>
        <v>#DIV/0!</v>
      </c>
      <c r="M6" s="34">
        <f>M11+M16+M21</f>
        <v>52.3</v>
      </c>
      <c r="N6" s="36">
        <f>N11+N16+N21</f>
        <v>0</v>
      </c>
      <c r="O6" s="35">
        <f t="shared" ref="O6:O21" si="8">N6/M6*100</f>
        <v>0</v>
      </c>
      <c r="P6" s="34">
        <f t="shared" si="0"/>
        <v>117.4</v>
      </c>
      <c r="Q6" s="36">
        <f>Q11+Q16+Q21</f>
        <v>0</v>
      </c>
      <c r="R6" s="36">
        <f t="shared" ref="R6:R21" si="9">Q6/P6*100</f>
        <v>0</v>
      </c>
      <c r="S6" s="37">
        <f t="shared" si="0"/>
        <v>1697.2</v>
      </c>
      <c r="T6" s="36">
        <f>T11+T16+T21</f>
        <v>0</v>
      </c>
      <c r="U6" s="35">
        <f t="shared" ref="U6:U21" si="10">T6/S6*100</f>
        <v>0</v>
      </c>
      <c r="V6" s="37">
        <f t="shared" si="0"/>
        <v>48.4</v>
      </c>
      <c r="W6" s="47">
        <f>W11+W16+W21</f>
        <v>0</v>
      </c>
      <c r="X6" s="35">
        <f t="shared" ref="X6:X21" si="11">W6/V6*100</f>
        <v>0</v>
      </c>
      <c r="Y6" s="37">
        <f t="shared" si="0"/>
        <v>0</v>
      </c>
      <c r="Z6" s="36">
        <f>Z11+Z16+Z21</f>
        <v>0</v>
      </c>
      <c r="AA6" s="35" t="e">
        <f t="shared" ref="AA6:AA21" si="12">Z6/Y6*100</f>
        <v>#DIV/0!</v>
      </c>
      <c r="AB6" s="37">
        <f t="shared" si="0"/>
        <v>59.5</v>
      </c>
      <c r="AC6" s="36">
        <f>AC11+AC16+AC21</f>
        <v>0</v>
      </c>
      <c r="AD6" s="35">
        <f t="shared" ref="AD6:AD21" si="13">AC6/AB6*100</f>
        <v>0</v>
      </c>
      <c r="AE6" s="37">
        <f t="shared" si="0"/>
        <v>134.30000000000001</v>
      </c>
      <c r="AF6" s="36">
        <f>AF11+AF16+AF21</f>
        <v>0</v>
      </c>
      <c r="AG6" s="35">
        <f t="shared" ref="AG6:AG21" si="14">AF6/AE6*100</f>
        <v>0</v>
      </c>
      <c r="AH6" s="37">
        <f t="shared" si="0"/>
        <v>46.8</v>
      </c>
      <c r="AI6" s="36">
        <f>AI11+AI16+AI21</f>
        <v>0</v>
      </c>
      <c r="AJ6" s="35">
        <f t="shared" ref="AJ6:AJ19" si="15">AI6/AH6*100</f>
        <v>0</v>
      </c>
      <c r="AK6" s="37">
        <f t="shared" si="0"/>
        <v>31</v>
      </c>
      <c r="AL6" s="36">
        <v>0</v>
      </c>
      <c r="AM6" s="35">
        <f t="shared" ref="AM6:AM21" si="16">AL6/AK6*100</f>
        <v>0</v>
      </c>
      <c r="AN6" s="90">
        <f t="shared" si="0"/>
        <v>0</v>
      </c>
      <c r="AO6" s="36">
        <v>0</v>
      </c>
      <c r="AP6" s="91">
        <v>0</v>
      </c>
      <c r="AQ6" s="23"/>
      <c r="AR6" s="10"/>
      <c r="AS6" s="62" t="s">
        <v>39</v>
      </c>
      <c r="AT6" s="79">
        <f>AT11+AT16+AT21</f>
        <v>2186.9</v>
      </c>
      <c r="AU6" s="80">
        <f t="shared" si="3"/>
        <v>0</v>
      </c>
      <c r="AV6" s="81">
        <f>AV11+AV16+AV21</f>
        <v>0</v>
      </c>
      <c r="AW6" s="61">
        <f>AV6-E6</f>
        <v>0</v>
      </c>
      <c r="AX6" s="151"/>
      <c r="AY6" s="21" t="s">
        <v>23</v>
      </c>
    </row>
    <row r="7" spans="1:51" ht="26.25" customHeight="1" x14ac:dyDescent="0.25">
      <c r="A7" s="172"/>
      <c r="B7" s="151"/>
      <c r="C7" s="21" t="s">
        <v>24</v>
      </c>
      <c r="D7" s="51">
        <f>G7+J7+M7+P7+S7+V7+Y7+AB7+AE7+AH7+AK7+AN7</f>
        <v>17.2</v>
      </c>
      <c r="E7" s="48">
        <f t="shared" si="1"/>
        <v>0</v>
      </c>
      <c r="F7" s="33">
        <v>0</v>
      </c>
      <c r="G7" s="34">
        <f t="shared" ref="G7" si="17">G12+G17+G22</f>
        <v>0</v>
      </c>
      <c r="H7" s="35">
        <f>H12+H17+H22</f>
        <v>0</v>
      </c>
      <c r="I7" s="35">
        <v>0</v>
      </c>
      <c r="J7" s="34">
        <f t="shared" ref="J7" si="18">J12+J17+J22</f>
        <v>0</v>
      </c>
      <c r="K7" s="35">
        <v>0</v>
      </c>
      <c r="L7" s="35">
        <v>0</v>
      </c>
      <c r="M7" s="34">
        <f>M12+M17+M22</f>
        <v>0</v>
      </c>
      <c r="N7" s="36">
        <f>N12+N17+N22</f>
        <v>0</v>
      </c>
      <c r="O7" s="35">
        <v>0</v>
      </c>
      <c r="P7" s="34">
        <f t="shared" si="0"/>
        <v>0</v>
      </c>
      <c r="Q7" s="36">
        <f>Q12+Q16+Q22</f>
        <v>0</v>
      </c>
      <c r="R7" s="36">
        <v>0</v>
      </c>
      <c r="S7" s="34">
        <f t="shared" si="0"/>
        <v>0</v>
      </c>
      <c r="T7" s="36">
        <v>0</v>
      </c>
      <c r="U7" s="35">
        <v>0</v>
      </c>
      <c r="V7" s="34">
        <f t="shared" si="0"/>
        <v>0</v>
      </c>
      <c r="W7" s="47">
        <v>0</v>
      </c>
      <c r="X7" s="35">
        <v>0</v>
      </c>
      <c r="Y7" s="34">
        <v>0</v>
      </c>
      <c r="Z7" s="36">
        <v>0</v>
      </c>
      <c r="AA7" s="35">
        <v>0</v>
      </c>
      <c r="AB7" s="34">
        <v>0</v>
      </c>
      <c r="AC7" s="36">
        <v>0</v>
      </c>
      <c r="AD7" s="35">
        <v>0</v>
      </c>
      <c r="AE7" s="34">
        <f t="shared" si="0"/>
        <v>17.2</v>
      </c>
      <c r="AF7" s="36">
        <v>0</v>
      </c>
      <c r="AG7" s="35">
        <v>0</v>
      </c>
      <c r="AH7" s="34">
        <f t="shared" si="0"/>
        <v>0</v>
      </c>
      <c r="AI7" s="36">
        <v>0</v>
      </c>
      <c r="AJ7" s="35">
        <v>0</v>
      </c>
      <c r="AK7" s="34">
        <f t="shared" si="0"/>
        <v>0</v>
      </c>
      <c r="AL7" s="36">
        <v>0</v>
      </c>
      <c r="AM7" s="35">
        <v>0</v>
      </c>
      <c r="AN7" s="92">
        <f t="shared" si="0"/>
        <v>0</v>
      </c>
      <c r="AO7" s="36">
        <v>0</v>
      </c>
      <c r="AP7" s="91">
        <v>0</v>
      </c>
      <c r="AQ7" s="23"/>
      <c r="AR7" s="10"/>
      <c r="AS7" s="62" t="s">
        <v>40</v>
      </c>
      <c r="AT7" s="79">
        <f>AT12+AT17+AT22</f>
        <v>17.2</v>
      </c>
      <c r="AU7" s="80">
        <f t="shared" si="3"/>
        <v>0</v>
      </c>
      <c r="AV7" s="81">
        <f>AV12+AV17+AV22</f>
        <v>0</v>
      </c>
      <c r="AW7" s="61">
        <f t="shared" si="4"/>
        <v>0</v>
      </c>
      <c r="AX7" s="151"/>
      <c r="AY7" s="21" t="s">
        <v>24</v>
      </c>
    </row>
    <row r="8" spans="1:51" ht="26.25" customHeight="1" x14ac:dyDescent="0.25">
      <c r="A8" s="173"/>
      <c r="B8" s="152"/>
      <c r="C8" s="18" t="s">
        <v>25</v>
      </c>
      <c r="D8" s="51">
        <f t="shared" si="5"/>
        <v>0</v>
      </c>
      <c r="E8" s="48">
        <f t="shared" si="1"/>
        <v>0</v>
      </c>
      <c r="F8" s="33">
        <v>0</v>
      </c>
      <c r="G8" s="38">
        <v>0</v>
      </c>
      <c r="H8" s="33">
        <f>H13+H18+H23</f>
        <v>0</v>
      </c>
      <c r="I8" s="35">
        <v>0</v>
      </c>
      <c r="J8" s="38">
        <v>0</v>
      </c>
      <c r="K8" s="35">
        <v>0</v>
      </c>
      <c r="L8" s="35">
        <v>0</v>
      </c>
      <c r="M8" s="38">
        <v>0</v>
      </c>
      <c r="N8" s="39">
        <f>N13+N18+N23</f>
        <v>0</v>
      </c>
      <c r="O8" s="35">
        <v>0</v>
      </c>
      <c r="P8" s="38">
        <v>0</v>
      </c>
      <c r="Q8" s="39">
        <v>0</v>
      </c>
      <c r="R8" s="36">
        <v>0</v>
      </c>
      <c r="S8" s="38">
        <v>0</v>
      </c>
      <c r="T8" s="39">
        <v>0</v>
      </c>
      <c r="U8" s="35">
        <v>0</v>
      </c>
      <c r="V8" s="38">
        <v>0</v>
      </c>
      <c r="W8" s="48">
        <v>0</v>
      </c>
      <c r="X8" s="35">
        <v>0</v>
      </c>
      <c r="Y8" s="38">
        <v>0</v>
      </c>
      <c r="Z8" s="39">
        <v>0</v>
      </c>
      <c r="AA8" s="35">
        <v>0</v>
      </c>
      <c r="AB8" s="38">
        <v>0</v>
      </c>
      <c r="AC8" s="39">
        <v>0</v>
      </c>
      <c r="AD8" s="35">
        <v>0</v>
      </c>
      <c r="AE8" s="38">
        <v>0</v>
      </c>
      <c r="AF8" s="33">
        <v>0</v>
      </c>
      <c r="AG8" s="35">
        <v>0</v>
      </c>
      <c r="AH8" s="38">
        <v>0</v>
      </c>
      <c r="AI8" s="39">
        <v>0</v>
      </c>
      <c r="AJ8" s="35">
        <v>0</v>
      </c>
      <c r="AK8" s="38">
        <v>0</v>
      </c>
      <c r="AL8" s="39">
        <v>0</v>
      </c>
      <c r="AM8" s="35">
        <v>0</v>
      </c>
      <c r="AN8" s="93">
        <v>0</v>
      </c>
      <c r="AO8" s="39">
        <v>0</v>
      </c>
      <c r="AP8" s="39">
        <v>0</v>
      </c>
      <c r="AQ8" s="23"/>
      <c r="AR8" s="10"/>
      <c r="AS8" s="57" t="s">
        <v>41</v>
      </c>
      <c r="AT8" s="79">
        <f>AT13+AT18+AT23</f>
        <v>0</v>
      </c>
      <c r="AU8" s="80">
        <f t="shared" si="3"/>
        <v>0</v>
      </c>
      <c r="AV8" s="81">
        <f>AV13+AV18+AV23</f>
        <v>0</v>
      </c>
      <c r="AW8" s="61">
        <f t="shared" si="4"/>
        <v>0</v>
      </c>
      <c r="AX8" s="152"/>
      <c r="AY8" s="18" t="s">
        <v>25</v>
      </c>
    </row>
    <row r="9" spans="1:51" ht="39" customHeight="1" x14ac:dyDescent="0.25">
      <c r="A9" s="167" t="s">
        <v>26</v>
      </c>
      <c r="B9" s="153" t="s">
        <v>27</v>
      </c>
      <c r="C9" s="18" t="s">
        <v>21</v>
      </c>
      <c r="D9" s="49">
        <f>G9+J9+M9+P9+S9+V9+Y9+AB9+AE9+AH9+AK9+AN9</f>
        <v>8687.4</v>
      </c>
      <c r="E9" s="49">
        <f t="shared" si="1"/>
        <v>0</v>
      </c>
      <c r="F9" s="40">
        <f t="shared" ref="F9:O9" si="19">F10+F11+F12</f>
        <v>0</v>
      </c>
      <c r="G9" s="40">
        <f t="shared" si="19"/>
        <v>0</v>
      </c>
      <c r="H9" s="40">
        <f t="shared" si="19"/>
        <v>0</v>
      </c>
      <c r="I9" s="40" t="e">
        <f t="shared" si="19"/>
        <v>#DIV/0!</v>
      </c>
      <c r="J9" s="40">
        <f t="shared" si="19"/>
        <v>123.7</v>
      </c>
      <c r="K9" s="40">
        <f t="shared" si="19"/>
        <v>0</v>
      </c>
      <c r="L9" s="40" t="e">
        <f t="shared" si="19"/>
        <v>#DIV/0!</v>
      </c>
      <c r="M9" s="40">
        <f t="shared" si="19"/>
        <v>175.2</v>
      </c>
      <c r="N9" s="40">
        <f t="shared" si="19"/>
        <v>0</v>
      </c>
      <c r="O9" s="40">
        <f t="shared" si="19"/>
        <v>0</v>
      </c>
      <c r="P9" s="40">
        <f>P10+P11+P12+P13</f>
        <v>136.6</v>
      </c>
      <c r="Q9" s="40">
        <f>Q10+Q11+Q12+Q13</f>
        <v>0</v>
      </c>
      <c r="R9" s="41">
        <f t="shared" si="9"/>
        <v>0</v>
      </c>
      <c r="S9" s="40">
        <f t="shared" ref="S9:AN9" si="20">S10+S11</f>
        <v>3511.1000000000004</v>
      </c>
      <c r="T9" s="40">
        <f>T10+T11+T12</f>
        <v>0</v>
      </c>
      <c r="U9" s="41">
        <f t="shared" si="10"/>
        <v>0</v>
      </c>
      <c r="V9" s="40">
        <f t="shared" si="20"/>
        <v>1939.2</v>
      </c>
      <c r="W9" s="49">
        <f>W10+W11+W13+W12</f>
        <v>0</v>
      </c>
      <c r="X9" s="41">
        <f t="shared" si="11"/>
        <v>0</v>
      </c>
      <c r="Y9" s="40">
        <f t="shared" si="20"/>
        <v>1822</v>
      </c>
      <c r="Z9" s="40">
        <f>Z10+Z11</f>
        <v>0</v>
      </c>
      <c r="AA9" s="41">
        <f t="shared" si="12"/>
        <v>0</v>
      </c>
      <c r="AB9" s="40">
        <f t="shared" si="20"/>
        <v>594</v>
      </c>
      <c r="AC9" s="40">
        <f>AC10+AC11</f>
        <v>0</v>
      </c>
      <c r="AD9" s="41">
        <f t="shared" si="13"/>
        <v>0</v>
      </c>
      <c r="AE9" s="40">
        <f>AE10+AE11+AE12</f>
        <v>294</v>
      </c>
      <c r="AF9" s="40">
        <f>AF10+AF11</f>
        <v>0</v>
      </c>
      <c r="AG9" s="41">
        <f t="shared" si="14"/>
        <v>0</v>
      </c>
      <c r="AH9" s="40">
        <f t="shared" si="20"/>
        <v>55.099999999999994</v>
      </c>
      <c r="AI9" s="40">
        <f>AI10+AI11</f>
        <v>0</v>
      </c>
      <c r="AJ9" s="41">
        <f t="shared" si="15"/>
        <v>0</v>
      </c>
      <c r="AK9" s="40">
        <f t="shared" si="20"/>
        <v>36.5</v>
      </c>
      <c r="AL9" s="40">
        <f>AL10+AL11</f>
        <v>0</v>
      </c>
      <c r="AM9" s="41">
        <f t="shared" si="16"/>
        <v>0</v>
      </c>
      <c r="AN9" s="40">
        <f t="shared" si="20"/>
        <v>0</v>
      </c>
      <c r="AO9" s="40">
        <v>0</v>
      </c>
      <c r="AP9" s="40">
        <v>0</v>
      </c>
      <c r="AQ9" s="19"/>
      <c r="AR9" s="82"/>
      <c r="AS9" s="83" t="s">
        <v>37</v>
      </c>
      <c r="AT9" s="84">
        <f>AT10+AT11+AT12</f>
        <v>8687.4000000000015</v>
      </c>
      <c r="AU9" s="85">
        <f t="shared" si="3"/>
        <v>0</v>
      </c>
      <c r="AV9" s="86">
        <f>AV10+AV11+AV12+AV13</f>
        <v>0</v>
      </c>
      <c r="AW9" s="87">
        <f t="shared" si="4"/>
        <v>0</v>
      </c>
      <c r="AX9" s="153" t="s">
        <v>27</v>
      </c>
      <c r="AY9" s="18" t="s">
        <v>21</v>
      </c>
    </row>
    <row r="10" spans="1:51" ht="26.25" customHeight="1" x14ac:dyDescent="0.25">
      <c r="A10" s="168"/>
      <c r="B10" s="154"/>
      <c r="C10" s="21" t="s">
        <v>22</v>
      </c>
      <c r="D10" s="51">
        <f>G10+J10+M10+P10+S10+V10+Y10+AB10+AE10+AH10+AK10+AN10</f>
        <v>6483.3</v>
      </c>
      <c r="E10" s="48">
        <f t="shared" si="1"/>
        <v>0</v>
      </c>
      <c r="F10" s="33">
        <f t="shared" si="2"/>
        <v>0</v>
      </c>
      <c r="G10" s="38">
        <v>0</v>
      </c>
      <c r="H10" s="33">
        <v>0</v>
      </c>
      <c r="I10" s="35" t="e">
        <f t="shared" si="6"/>
        <v>#DIV/0!</v>
      </c>
      <c r="J10" s="38">
        <v>123.7</v>
      </c>
      <c r="K10" s="35">
        <v>0</v>
      </c>
      <c r="L10" s="35">
        <f t="shared" si="7"/>
        <v>0</v>
      </c>
      <c r="M10" s="38">
        <v>122.9</v>
      </c>
      <c r="N10" s="39">
        <v>0</v>
      </c>
      <c r="O10" s="35">
        <f t="shared" si="8"/>
        <v>0</v>
      </c>
      <c r="P10" s="38">
        <v>19.2</v>
      </c>
      <c r="Q10" s="39">
        <v>0</v>
      </c>
      <c r="R10" s="36">
        <f t="shared" si="9"/>
        <v>0</v>
      </c>
      <c r="S10" s="38">
        <v>1813.9</v>
      </c>
      <c r="T10" s="39">
        <v>0</v>
      </c>
      <c r="U10" s="35">
        <f t="shared" si="10"/>
        <v>0</v>
      </c>
      <c r="V10" s="38">
        <v>1890.8</v>
      </c>
      <c r="W10" s="48">
        <v>0</v>
      </c>
      <c r="X10" s="35">
        <f t="shared" si="11"/>
        <v>0</v>
      </c>
      <c r="Y10" s="38">
        <v>1822</v>
      </c>
      <c r="Z10" s="39">
        <v>0</v>
      </c>
      <c r="AA10" s="35">
        <f>Z10/Y10*100</f>
        <v>0</v>
      </c>
      <c r="AB10" s="38">
        <v>534.5</v>
      </c>
      <c r="AC10" s="39">
        <v>0</v>
      </c>
      <c r="AD10" s="35">
        <f t="shared" si="13"/>
        <v>0</v>
      </c>
      <c r="AE10" s="38">
        <v>142.5</v>
      </c>
      <c r="AF10" s="39">
        <v>0</v>
      </c>
      <c r="AG10" s="35">
        <v>0</v>
      </c>
      <c r="AH10" s="38">
        <v>8.3000000000000007</v>
      </c>
      <c r="AI10" s="39">
        <v>0</v>
      </c>
      <c r="AJ10" s="35">
        <v>0</v>
      </c>
      <c r="AK10" s="38">
        <v>5.5</v>
      </c>
      <c r="AL10" s="39">
        <v>0</v>
      </c>
      <c r="AM10" s="35">
        <f t="shared" si="16"/>
        <v>0</v>
      </c>
      <c r="AN10" s="93">
        <v>0</v>
      </c>
      <c r="AO10" s="39">
        <v>0</v>
      </c>
      <c r="AP10" s="89">
        <v>0</v>
      </c>
      <c r="AQ10" s="22"/>
      <c r="AR10" s="10"/>
      <c r="AS10" s="62" t="s">
        <v>38</v>
      </c>
      <c r="AT10" s="66">
        <v>6483.3</v>
      </c>
      <c r="AU10" s="59">
        <f>AT10-D10</f>
        <v>0</v>
      </c>
      <c r="AV10" s="68">
        <v>0</v>
      </c>
      <c r="AW10" s="61">
        <f t="shared" si="4"/>
        <v>0</v>
      </c>
      <c r="AX10" s="154"/>
      <c r="AY10" s="21" t="s">
        <v>22</v>
      </c>
    </row>
    <row r="11" spans="1:51" ht="26.25" customHeight="1" x14ac:dyDescent="0.25">
      <c r="A11" s="168"/>
      <c r="B11" s="154"/>
      <c r="C11" s="18" t="s">
        <v>23</v>
      </c>
      <c r="D11" s="51">
        <f>G11+J11+M11+P11+S11+V11+Y11+AB11+AE11+AH11+AK11+AN11</f>
        <v>2186.9000000000005</v>
      </c>
      <c r="E11" s="48">
        <f t="shared" si="1"/>
        <v>0</v>
      </c>
      <c r="F11" s="33">
        <f t="shared" si="2"/>
        <v>0</v>
      </c>
      <c r="G11" s="38">
        <v>0</v>
      </c>
      <c r="H11" s="33">
        <v>0</v>
      </c>
      <c r="I11" s="35" t="e">
        <f t="shared" si="6"/>
        <v>#DIV/0!</v>
      </c>
      <c r="J11" s="38">
        <v>0</v>
      </c>
      <c r="K11" s="35">
        <v>0</v>
      </c>
      <c r="L11" s="35" t="e">
        <f t="shared" si="7"/>
        <v>#DIV/0!</v>
      </c>
      <c r="M11" s="38">
        <v>52.3</v>
      </c>
      <c r="N11" s="39">
        <v>0</v>
      </c>
      <c r="O11" s="35">
        <f t="shared" si="8"/>
        <v>0</v>
      </c>
      <c r="P11" s="38">
        <v>117.4</v>
      </c>
      <c r="Q11" s="39">
        <v>0</v>
      </c>
      <c r="R11" s="36">
        <f t="shared" si="9"/>
        <v>0</v>
      </c>
      <c r="S11" s="38">
        <v>1697.2</v>
      </c>
      <c r="T11" s="39">
        <v>0</v>
      </c>
      <c r="U11" s="35">
        <f t="shared" si="10"/>
        <v>0</v>
      </c>
      <c r="V11" s="38">
        <v>48.4</v>
      </c>
      <c r="W11" s="48">
        <v>0</v>
      </c>
      <c r="X11" s="35">
        <f t="shared" si="11"/>
        <v>0</v>
      </c>
      <c r="Y11" s="38">
        <v>0</v>
      </c>
      <c r="Z11" s="39">
        <v>0</v>
      </c>
      <c r="AA11" s="35" t="e">
        <f t="shared" si="12"/>
        <v>#DIV/0!</v>
      </c>
      <c r="AB11" s="38">
        <v>59.5</v>
      </c>
      <c r="AC11" s="39">
        <v>0</v>
      </c>
      <c r="AD11" s="35">
        <f t="shared" si="13"/>
        <v>0</v>
      </c>
      <c r="AE11" s="38">
        <v>134.30000000000001</v>
      </c>
      <c r="AF11" s="39">
        <v>0</v>
      </c>
      <c r="AG11" s="35">
        <f t="shared" si="14"/>
        <v>0</v>
      </c>
      <c r="AH11" s="38">
        <v>46.8</v>
      </c>
      <c r="AI11" s="39">
        <v>0</v>
      </c>
      <c r="AJ11" s="35">
        <v>0</v>
      </c>
      <c r="AK11" s="38">
        <v>31</v>
      </c>
      <c r="AL11" s="39">
        <v>0</v>
      </c>
      <c r="AM11" s="35">
        <v>0</v>
      </c>
      <c r="AN11" s="93">
        <v>0</v>
      </c>
      <c r="AO11" s="39">
        <v>0</v>
      </c>
      <c r="AP11" s="89">
        <v>0</v>
      </c>
      <c r="AQ11" s="23"/>
      <c r="AR11" s="10"/>
      <c r="AS11" s="62" t="s">
        <v>39</v>
      </c>
      <c r="AT11" s="66">
        <v>2186.9</v>
      </c>
      <c r="AU11" s="59">
        <f t="shared" si="3"/>
        <v>0</v>
      </c>
      <c r="AV11" s="68">
        <v>0</v>
      </c>
      <c r="AW11" s="61">
        <f t="shared" si="4"/>
        <v>0</v>
      </c>
      <c r="AX11" s="154"/>
      <c r="AY11" s="18" t="s">
        <v>23</v>
      </c>
    </row>
    <row r="12" spans="1:51" ht="26.25" customHeight="1" x14ac:dyDescent="0.25">
      <c r="A12" s="168"/>
      <c r="B12" s="154"/>
      <c r="C12" s="21" t="s">
        <v>24</v>
      </c>
      <c r="D12" s="51">
        <f t="shared" si="5"/>
        <v>17.2</v>
      </c>
      <c r="E12" s="48">
        <f t="shared" si="1"/>
        <v>0</v>
      </c>
      <c r="F12" s="33">
        <v>0</v>
      </c>
      <c r="G12" s="38">
        <v>0</v>
      </c>
      <c r="H12" s="33">
        <v>0</v>
      </c>
      <c r="I12" s="35">
        <v>0</v>
      </c>
      <c r="J12" s="38">
        <v>0</v>
      </c>
      <c r="K12" s="35">
        <v>0</v>
      </c>
      <c r="L12" s="35">
        <v>0</v>
      </c>
      <c r="M12" s="38">
        <v>0</v>
      </c>
      <c r="N12" s="39">
        <v>0</v>
      </c>
      <c r="O12" s="35">
        <v>0</v>
      </c>
      <c r="P12" s="38">
        <v>0</v>
      </c>
      <c r="Q12" s="39">
        <v>0</v>
      </c>
      <c r="R12" s="36">
        <v>0</v>
      </c>
      <c r="S12" s="38">
        <v>0</v>
      </c>
      <c r="T12" s="39">
        <v>0</v>
      </c>
      <c r="U12" s="35">
        <v>0</v>
      </c>
      <c r="V12" s="38">
        <v>0</v>
      </c>
      <c r="W12" s="48">
        <v>0</v>
      </c>
      <c r="X12" s="35">
        <v>0</v>
      </c>
      <c r="Y12" s="38">
        <v>0</v>
      </c>
      <c r="Z12" s="39">
        <v>0</v>
      </c>
      <c r="AA12" s="35">
        <v>0</v>
      </c>
      <c r="AB12" s="38">
        <v>0</v>
      </c>
      <c r="AC12" s="39">
        <v>0</v>
      </c>
      <c r="AD12" s="35">
        <v>0</v>
      </c>
      <c r="AE12" s="38">
        <v>17.2</v>
      </c>
      <c r="AF12" s="39">
        <v>0</v>
      </c>
      <c r="AG12" s="35">
        <v>0</v>
      </c>
      <c r="AH12" s="38">
        <v>0</v>
      </c>
      <c r="AI12" s="39">
        <v>0</v>
      </c>
      <c r="AJ12" s="35">
        <v>0</v>
      </c>
      <c r="AK12" s="38">
        <v>0</v>
      </c>
      <c r="AL12" s="39">
        <v>0</v>
      </c>
      <c r="AM12" s="35">
        <v>0</v>
      </c>
      <c r="AN12" s="93">
        <v>0</v>
      </c>
      <c r="AO12" s="39">
        <v>0</v>
      </c>
      <c r="AP12" s="89">
        <v>0</v>
      </c>
      <c r="AQ12" s="23"/>
      <c r="AR12" s="10"/>
      <c r="AS12" s="62" t="s">
        <v>40</v>
      </c>
      <c r="AT12" s="66">
        <v>17.2</v>
      </c>
      <c r="AU12" s="59">
        <f t="shared" si="3"/>
        <v>0</v>
      </c>
      <c r="AV12" s="68">
        <v>0</v>
      </c>
      <c r="AW12" s="61">
        <f t="shared" si="4"/>
        <v>0</v>
      </c>
      <c r="AX12" s="154"/>
      <c r="AY12" s="21" t="s">
        <v>24</v>
      </c>
    </row>
    <row r="13" spans="1:51" ht="26.25" customHeight="1" x14ac:dyDescent="0.25">
      <c r="A13" s="169"/>
      <c r="B13" s="155"/>
      <c r="C13" s="18" t="s">
        <v>25</v>
      </c>
      <c r="D13" s="51">
        <f t="shared" si="5"/>
        <v>0</v>
      </c>
      <c r="E13" s="48">
        <f t="shared" si="1"/>
        <v>0</v>
      </c>
      <c r="F13" s="33">
        <v>0</v>
      </c>
      <c r="G13" s="38">
        <v>0</v>
      </c>
      <c r="H13" s="33">
        <v>0</v>
      </c>
      <c r="I13" s="35">
        <v>0</v>
      </c>
      <c r="J13" s="38">
        <v>0</v>
      </c>
      <c r="K13" s="35">
        <v>0</v>
      </c>
      <c r="L13" s="35">
        <v>0</v>
      </c>
      <c r="M13" s="38">
        <v>0</v>
      </c>
      <c r="N13" s="39">
        <v>0</v>
      </c>
      <c r="O13" s="35">
        <v>0</v>
      </c>
      <c r="P13" s="38">
        <v>0</v>
      </c>
      <c r="Q13" s="39">
        <v>0</v>
      </c>
      <c r="R13" s="36">
        <v>0</v>
      </c>
      <c r="S13" s="38">
        <v>0</v>
      </c>
      <c r="T13" s="39">
        <v>0</v>
      </c>
      <c r="U13" s="35">
        <v>0</v>
      </c>
      <c r="V13" s="38">
        <v>0</v>
      </c>
      <c r="W13" s="48">
        <v>0</v>
      </c>
      <c r="X13" s="35">
        <v>0</v>
      </c>
      <c r="Y13" s="38">
        <v>0</v>
      </c>
      <c r="Z13" s="39">
        <v>0</v>
      </c>
      <c r="AA13" s="35">
        <v>0</v>
      </c>
      <c r="AB13" s="38">
        <v>0</v>
      </c>
      <c r="AC13" s="39">
        <v>0</v>
      </c>
      <c r="AD13" s="35">
        <v>0</v>
      </c>
      <c r="AE13" s="38">
        <v>0</v>
      </c>
      <c r="AF13" s="39">
        <v>0</v>
      </c>
      <c r="AG13" s="35">
        <v>0</v>
      </c>
      <c r="AH13" s="38">
        <v>0</v>
      </c>
      <c r="AI13" s="39">
        <v>0</v>
      </c>
      <c r="AJ13" s="35">
        <v>0</v>
      </c>
      <c r="AK13" s="38">
        <v>0</v>
      </c>
      <c r="AL13" s="39">
        <v>0</v>
      </c>
      <c r="AM13" s="35">
        <v>0</v>
      </c>
      <c r="AN13" s="93">
        <v>0</v>
      </c>
      <c r="AO13" s="39">
        <v>0</v>
      </c>
      <c r="AP13" s="39">
        <v>0</v>
      </c>
      <c r="AQ13" s="23"/>
      <c r="AR13" s="10"/>
      <c r="AS13" s="57" t="s">
        <v>41</v>
      </c>
      <c r="AT13" s="58">
        <v>0</v>
      </c>
      <c r="AU13" s="59">
        <f t="shared" si="3"/>
        <v>0</v>
      </c>
      <c r="AV13" s="60">
        <v>0</v>
      </c>
      <c r="AW13" s="61">
        <f t="shared" si="4"/>
        <v>0</v>
      </c>
      <c r="AX13" s="155"/>
      <c r="AY13" s="18" t="s">
        <v>25</v>
      </c>
    </row>
    <row r="14" spans="1:51" ht="37.5" customHeight="1" x14ac:dyDescent="0.25">
      <c r="A14" s="167" t="s">
        <v>30</v>
      </c>
      <c r="B14" s="153" t="s">
        <v>28</v>
      </c>
      <c r="C14" s="18" t="s">
        <v>21</v>
      </c>
      <c r="D14" s="49">
        <f>G14+J14+M14+P14+S14+V14+Y14+AB14+AE14+AH14+AK14+AN14</f>
        <v>5225</v>
      </c>
      <c r="E14" s="49">
        <f t="shared" si="1"/>
        <v>0</v>
      </c>
      <c r="F14" s="40">
        <f t="shared" si="2"/>
        <v>0</v>
      </c>
      <c r="G14" s="40">
        <f>G15+G16</f>
        <v>0</v>
      </c>
      <c r="H14" s="40">
        <f>H15+H16+H17+H18</f>
        <v>0</v>
      </c>
      <c r="I14" s="41">
        <v>0</v>
      </c>
      <c r="J14" s="40">
        <f>J15+J16+J17</f>
        <v>150</v>
      </c>
      <c r="K14" s="41">
        <f>K15+K16+K17+K18</f>
        <v>0</v>
      </c>
      <c r="L14" s="41">
        <v>0</v>
      </c>
      <c r="M14" s="40">
        <f>M15+M16+M17</f>
        <v>895.4</v>
      </c>
      <c r="N14" s="40">
        <f>N15+N16+N17+N18</f>
        <v>0</v>
      </c>
      <c r="O14" s="41">
        <f t="shared" si="8"/>
        <v>0</v>
      </c>
      <c r="P14" s="40">
        <f>P15+P16+P17</f>
        <v>437</v>
      </c>
      <c r="Q14" s="40">
        <f>Q15+Q16+Q17+Q18</f>
        <v>0</v>
      </c>
      <c r="R14" s="41">
        <f t="shared" si="9"/>
        <v>0</v>
      </c>
      <c r="S14" s="40">
        <f>S15+S16+S17</f>
        <v>702.1</v>
      </c>
      <c r="T14" s="40">
        <f>T15</f>
        <v>0</v>
      </c>
      <c r="U14" s="41">
        <f t="shared" si="10"/>
        <v>0</v>
      </c>
      <c r="V14" s="40">
        <f>V15+V16+V17</f>
        <v>1197</v>
      </c>
      <c r="W14" s="49">
        <f>W15+W16+W17+W18</f>
        <v>0</v>
      </c>
      <c r="X14" s="41">
        <f t="shared" si="11"/>
        <v>0</v>
      </c>
      <c r="Y14" s="40">
        <f>Y15+Y16+Y17</f>
        <v>400</v>
      </c>
      <c r="Z14" s="40">
        <f>Z15</f>
        <v>0</v>
      </c>
      <c r="AA14" s="41">
        <f t="shared" si="12"/>
        <v>0</v>
      </c>
      <c r="AB14" s="40">
        <f>AB15+AB16+AB17</f>
        <v>425.5</v>
      </c>
      <c r="AC14" s="40">
        <f>AC15</f>
        <v>0</v>
      </c>
      <c r="AD14" s="41">
        <f t="shared" si="13"/>
        <v>0</v>
      </c>
      <c r="AE14" s="40">
        <f>AE15+AE16</f>
        <v>318</v>
      </c>
      <c r="AF14" s="40">
        <f>AF15+AF16</f>
        <v>0</v>
      </c>
      <c r="AG14" s="41">
        <f t="shared" si="14"/>
        <v>0</v>
      </c>
      <c r="AH14" s="40">
        <f>AH15+AH16</f>
        <v>100</v>
      </c>
      <c r="AI14" s="40">
        <f>AI15</f>
        <v>0</v>
      </c>
      <c r="AJ14" s="41">
        <f t="shared" si="15"/>
        <v>0</v>
      </c>
      <c r="AK14" s="40">
        <f>AK15+AK16</f>
        <v>200</v>
      </c>
      <c r="AL14" s="40">
        <f>AL15</f>
        <v>0</v>
      </c>
      <c r="AM14" s="41">
        <f t="shared" si="16"/>
        <v>0</v>
      </c>
      <c r="AN14" s="94">
        <f>AN15+AN16</f>
        <v>400</v>
      </c>
      <c r="AO14" s="40">
        <v>0</v>
      </c>
      <c r="AP14" s="40">
        <v>0</v>
      </c>
      <c r="AQ14" s="19"/>
      <c r="AR14" s="82"/>
      <c r="AS14" s="83" t="s">
        <v>37</v>
      </c>
      <c r="AT14" s="84">
        <f>AT15+AT16+AT17+AT18</f>
        <v>5225</v>
      </c>
      <c r="AU14" s="85">
        <f t="shared" si="3"/>
        <v>0</v>
      </c>
      <c r="AV14" s="86">
        <f>AV15+AV16+AV17+AV18</f>
        <v>0</v>
      </c>
      <c r="AW14" s="87">
        <f t="shared" si="4"/>
        <v>0</v>
      </c>
      <c r="AX14" s="153" t="s">
        <v>28</v>
      </c>
      <c r="AY14" s="18" t="s">
        <v>21</v>
      </c>
    </row>
    <row r="15" spans="1:51" ht="26.25" customHeight="1" x14ac:dyDescent="0.25">
      <c r="A15" s="168"/>
      <c r="B15" s="154"/>
      <c r="C15" s="18" t="s">
        <v>22</v>
      </c>
      <c r="D15" s="51">
        <f>G15+J15+M15+P15+S15+V15+Y15+AB15+AE15+AH15+AK15+AN15</f>
        <v>5225</v>
      </c>
      <c r="E15" s="48">
        <f t="shared" si="1"/>
        <v>0</v>
      </c>
      <c r="F15" s="33">
        <f t="shared" si="2"/>
        <v>0</v>
      </c>
      <c r="G15" s="38">
        <v>0</v>
      </c>
      <c r="H15" s="33">
        <v>0</v>
      </c>
      <c r="I15" s="35"/>
      <c r="J15" s="38">
        <v>150</v>
      </c>
      <c r="K15" s="35">
        <v>0</v>
      </c>
      <c r="L15" s="35">
        <v>0</v>
      </c>
      <c r="M15" s="38">
        <v>895.4</v>
      </c>
      <c r="N15" s="39">
        <v>0</v>
      </c>
      <c r="O15" s="35">
        <v>0</v>
      </c>
      <c r="P15" s="38">
        <v>437</v>
      </c>
      <c r="Q15" s="39">
        <v>0</v>
      </c>
      <c r="R15" s="36">
        <f t="shared" si="9"/>
        <v>0</v>
      </c>
      <c r="S15" s="38">
        <v>702.1</v>
      </c>
      <c r="T15" s="39">
        <v>0</v>
      </c>
      <c r="U15" s="35">
        <f t="shared" si="10"/>
        <v>0</v>
      </c>
      <c r="V15" s="38">
        <v>1197</v>
      </c>
      <c r="W15" s="48">
        <v>0</v>
      </c>
      <c r="X15" s="35">
        <f t="shared" si="11"/>
        <v>0</v>
      </c>
      <c r="Y15" s="38">
        <v>400</v>
      </c>
      <c r="Z15" s="39">
        <v>0</v>
      </c>
      <c r="AA15" s="35">
        <v>0</v>
      </c>
      <c r="AB15" s="38">
        <v>425.5</v>
      </c>
      <c r="AC15" s="39">
        <v>0</v>
      </c>
      <c r="AD15" s="35">
        <f t="shared" si="13"/>
        <v>0</v>
      </c>
      <c r="AE15" s="38">
        <v>318</v>
      </c>
      <c r="AF15" s="39">
        <v>0</v>
      </c>
      <c r="AG15" s="35">
        <f t="shared" si="14"/>
        <v>0</v>
      </c>
      <c r="AH15" s="38">
        <v>100</v>
      </c>
      <c r="AI15" s="39">
        <v>0</v>
      </c>
      <c r="AJ15" s="35">
        <f t="shared" si="15"/>
        <v>0</v>
      </c>
      <c r="AK15" s="38">
        <v>200</v>
      </c>
      <c r="AL15" s="39">
        <v>0</v>
      </c>
      <c r="AM15" s="35">
        <f t="shared" si="16"/>
        <v>0</v>
      </c>
      <c r="AN15" s="93">
        <v>400</v>
      </c>
      <c r="AO15" s="39">
        <v>0</v>
      </c>
      <c r="AP15" s="89">
        <v>0</v>
      </c>
      <c r="AQ15" s="22"/>
      <c r="AR15" s="10"/>
      <c r="AS15" s="62" t="s">
        <v>38</v>
      </c>
      <c r="AT15" s="66">
        <v>5225</v>
      </c>
      <c r="AU15" s="59">
        <f t="shared" si="3"/>
        <v>0</v>
      </c>
      <c r="AV15" s="68">
        <v>0</v>
      </c>
      <c r="AW15" s="61">
        <f t="shared" si="4"/>
        <v>0</v>
      </c>
      <c r="AX15" s="154"/>
      <c r="AY15" s="18" t="s">
        <v>22</v>
      </c>
    </row>
    <row r="16" spans="1:51" ht="26.25" customHeight="1" x14ac:dyDescent="0.25">
      <c r="A16" s="168"/>
      <c r="B16" s="154"/>
      <c r="C16" s="21" t="s">
        <v>23</v>
      </c>
      <c r="D16" s="51">
        <f>G16+J16+M16+P16+S16+V16+Y16+AB16+AE16+AH16+AK16+AN16</f>
        <v>0</v>
      </c>
      <c r="E16" s="48">
        <f t="shared" si="1"/>
        <v>0</v>
      </c>
      <c r="F16" s="33">
        <v>0</v>
      </c>
      <c r="G16" s="38">
        <v>0</v>
      </c>
      <c r="H16" s="33">
        <v>0</v>
      </c>
      <c r="I16" s="35">
        <v>0</v>
      </c>
      <c r="J16" s="38">
        <v>0</v>
      </c>
      <c r="K16" s="35">
        <v>0</v>
      </c>
      <c r="L16" s="35">
        <v>0</v>
      </c>
      <c r="M16" s="38">
        <v>0</v>
      </c>
      <c r="N16" s="39">
        <v>0</v>
      </c>
      <c r="O16" s="35">
        <v>0</v>
      </c>
      <c r="P16" s="38">
        <v>0</v>
      </c>
      <c r="Q16" s="39">
        <v>0</v>
      </c>
      <c r="R16" s="36">
        <v>0</v>
      </c>
      <c r="S16" s="38">
        <v>0</v>
      </c>
      <c r="T16" s="39">
        <v>0</v>
      </c>
      <c r="U16" s="35">
        <v>0</v>
      </c>
      <c r="V16" s="38">
        <v>0</v>
      </c>
      <c r="W16" s="48">
        <v>0</v>
      </c>
      <c r="X16" s="35">
        <v>0</v>
      </c>
      <c r="Y16" s="38">
        <v>0</v>
      </c>
      <c r="Z16" s="39">
        <v>0</v>
      </c>
      <c r="AA16" s="35">
        <v>0</v>
      </c>
      <c r="AB16" s="38">
        <v>0</v>
      </c>
      <c r="AC16" s="39">
        <v>0</v>
      </c>
      <c r="AD16" s="35">
        <v>0</v>
      </c>
      <c r="AE16" s="38">
        <v>0</v>
      </c>
      <c r="AF16" s="39">
        <v>0</v>
      </c>
      <c r="AG16" s="35">
        <v>0</v>
      </c>
      <c r="AH16" s="38">
        <v>0</v>
      </c>
      <c r="AI16" s="39">
        <v>0</v>
      </c>
      <c r="AJ16" s="35">
        <v>0</v>
      </c>
      <c r="AK16" s="38">
        <v>0</v>
      </c>
      <c r="AL16" s="39">
        <v>0</v>
      </c>
      <c r="AM16" s="35">
        <v>0</v>
      </c>
      <c r="AN16" s="93">
        <v>0</v>
      </c>
      <c r="AO16" s="39">
        <v>0</v>
      </c>
      <c r="AP16" s="89">
        <v>0</v>
      </c>
      <c r="AQ16" s="23"/>
      <c r="AR16" s="10"/>
      <c r="AS16" s="62" t="s">
        <v>39</v>
      </c>
      <c r="AT16" s="66">
        <v>0</v>
      </c>
      <c r="AU16" s="59">
        <f t="shared" si="3"/>
        <v>0</v>
      </c>
      <c r="AV16" s="68">
        <v>0</v>
      </c>
      <c r="AW16" s="61">
        <f t="shared" si="4"/>
        <v>0</v>
      </c>
      <c r="AX16" s="154"/>
      <c r="AY16" s="21" t="s">
        <v>23</v>
      </c>
    </row>
    <row r="17" spans="1:51" ht="26.25" customHeight="1" x14ac:dyDescent="0.25">
      <c r="A17" s="168"/>
      <c r="B17" s="154"/>
      <c r="C17" s="21" t="s">
        <v>24</v>
      </c>
      <c r="D17" s="51">
        <f t="shared" si="5"/>
        <v>0</v>
      </c>
      <c r="E17" s="48">
        <f t="shared" si="1"/>
        <v>0</v>
      </c>
      <c r="F17" s="33">
        <v>0</v>
      </c>
      <c r="G17" s="38">
        <v>0</v>
      </c>
      <c r="H17" s="33">
        <v>0</v>
      </c>
      <c r="I17" s="35">
        <v>0</v>
      </c>
      <c r="J17" s="38">
        <v>0</v>
      </c>
      <c r="K17" s="35">
        <v>0</v>
      </c>
      <c r="L17" s="35">
        <v>0</v>
      </c>
      <c r="M17" s="38">
        <v>0</v>
      </c>
      <c r="N17" s="39">
        <v>0</v>
      </c>
      <c r="O17" s="35">
        <v>0</v>
      </c>
      <c r="P17" s="38">
        <v>0</v>
      </c>
      <c r="Q17" s="39">
        <v>0</v>
      </c>
      <c r="R17" s="36">
        <v>0</v>
      </c>
      <c r="S17" s="38">
        <v>0</v>
      </c>
      <c r="T17" s="39">
        <v>0</v>
      </c>
      <c r="U17" s="35">
        <v>0</v>
      </c>
      <c r="V17" s="38">
        <v>0</v>
      </c>
      <c r="W17" s="48">
        <v>0</v>
      </c>
      <c r="X17" s="35">
        <v>0</v>
      </c>
      <c r="Y17" s="38">
        <v>0</v>
      </c>
      <c r="Z17" s="39">
        <v>0</v>
      </c>
      <c r="AA17" s="35">
        <v>0</v>
      </c>
      <c r="AB17" s="38">
        <v>0</v>
      </c>
      <c r="AC17" s="39">
        <v>0</v>
      </c>
      <c r="AD17" s="35">
        <v>0</v>
      </c>
      <c r="AE17" s="38">
        <v>0</v>
      </c>
      <c r="AF17" s="39">
        <v>0</v>
      </c>
      <c r="AG17" s="35">
        <v>0</v>
      </c>
      <c r="AH17" s="38">
        <v>0</v>
      </c>
      <c r="AI17" s="39">
        <v>0</v>
      </c>
      <c r="AJ17" s="35">
        <v>0</v>
      </c>
      <c r="AK17" s="38">
        <v>0</v>
      </c>
      <c r="AL17" s="39">
        <v>0</v>
      </c>
      <c r="AM17" s="35">
        <v>0</v>
      </c>
      <c r="AN17" s="93">
        <v>0</v>
      </c>
      <c r="AO17" s="39">
        <v>0</v>
      </c>
      <c r="AP17" s="39">
        <v>0</v>
      </c>
      <c r="AQ17" s="23"/>
      <c r="AR17" s="10"/>
      <c r="AS17" s="62" t="s">
        <v>40</v>
      </c>
      <c r="AT17" s="58">
        <v>0</v>
      </c>
      <c r="AU17" s="59">
        <f t="shared" si="3"/>
        <v>0</v>
      </c>
      <c r="AV17" s="60">
        <v>0</v>
      </c>
      <c r="AW17" s="61">
        <f t="shared" si="4"/>
        <v>0</v>
      </c>
      <c r="AX17" s="154"/>
      <c r="AY17" s="21" t="s">
        <v>24</v>
      </c>
    </row>
    <row r="18" spans="1:51" ht="26.25" customHeight="1" x14ac:dyDescent="0.25">
      <c r="A18" s="169"/>
      <c r="B18" s="155"/>
      <c r="C18" s="18" t="s">
        <v>25</v>
      </c>
      <c r="D18" s="51">
        <f t="shared" si="5"/>
        <v>0</v>
      </c>
      <c r="E18" s="48">
        <f t="shared" si="1"/>
        <v>0</v>
      </c>
      <c r="F18" s="33">
        <v>0</v>
      </c>
      <c r="G18" s="38">
        <v>0</v>
      </c>
      <c r="H18" s="33">
        <v>0</v>
      </c>
      <c r="I18" s="35">
        <v>0</v>
      </c>
      <c r="J18" s="38">
        <v>0</v>
      </c>
      <c r="K18" s="35">
        <v>0</v>
      </c>
      <c r="L18" s="35">
        <v>0</v>
      </c>
      <c r="M18" s="38">
        <v>0</v>
      </c>
      <c r="N18" s="39">
        <v>0</v>
      </c>
      <c r="O18" s="35">
        <v>0</v>
      </c>
      <c r="P18" s="38">
        <v>0</v>
      </c>
      <c r="Q18" s="39">
        <v>0</v>
      </c>
      <c r="R18" s="36">
        <v>0</v>
      </c>
      <c r="S18" s="38">
        <v>0</v>
      </c>
      <c r="T18" s="39">
        <v>0</v>
      </c>
      <c r="U18" s="35">
        <v>0</v>
      </c>
      <c r="V18" s="38">
        <v>0</v>
      </c>
      <c r="W18" s="48">
        <v>0</v>
      </c>
      <c r="X18" s="35">
        <v>0</v>
      </c>
      <c r="Y18" s="38">
        <v>0</v>
      </c>
      <c r="Z18" s="39">
        <v>0</v>
      </c>
      <c r="AA18" s="35">
        <v>0</v>
      </c>
      <c r="AB18" s="38">
        <v>0</v>
      </c>
      <c r="AC18" s="39">
        <v>0</v>
      </c>
      <c r="AD18" s="35">
        <v>0</v>
      </c>
      <c r="AE18" s="38">
        <v>0</v>
      </c>
      <c r="AF18" s="39">
        <v>0</v>
      </c>
      <c r="AG18" s="35">
        <v>0</v>
      </c>
      <c r="AH18" s="38">
        <v>0</v>
      </c>
      <c r="AI18" s="39">
        <v>0</v>
      </c>
      <c r="AJ18" s="35">
        <v>0</v>
      </c>
      <c r="AK18" s="38">
        <v>0</v>
      </c>
      <c r="AL18" s="39">
        <v>0</v>
      </c>
      <c r="AM18" s="35">
        <v>0</v>
      </c>
      <c r="AN18" s="93">
        <v>0</v>
      </c>
      <c r="AO18" s="39">
        <v>0</v>
      </c>
      <c r="AP18" s="39">
        <v>0</v>
      </c>
      <c r="AQ18" s="23"/>
      <c r="AR18" s="10"/>
      <c r="AS18" s="57" t="s">
        <v>41</v>
      </c>
      <c r="AT18" s="58">
        <v>0</v>
      </c>
      <c r="AU18" s="59">
        <f t="shared" si="3"/>
        <v>0</v>
      </c>
      <c r="AV18" s="60">
        <v>0</v>
      </c>
      <c r="AW18" s="61">
        <f t="shared" si="4"/>
        <v>0</v>
      </c>
      <c r="AX18" s="155"/>
      <c r="AY18" s="18" t="s">
        <v>25</v>
      </c>
    </row>
    <row r="19" spans="1:51" ht="39" customHeight="1" x14ac:dyDescent="0.25">
      <c r="A19" s="167" t="s">
        <v>31</v>
      </c>
      <c r="B19" s="153" t="s">
        <v>29</v>
      </c>
      <c r="C19" s="24" t="s">
        <v>21</v>
      </c>
      <c r="D19" s="50">
        <f>G19+J19+M19+P19+S19+V19+Y19+AB19+AE19+AH19+AK19+AN19</f>
        <v>401852.79999999993</v>
      </c>
      <c r="E19" s="49">
        <f t="shared" si="1"/>
        <v>19</v>
      </c>
      <c r="F19" s="40">
        <f t="shared" si="2"/>
        <v>4.728099443378272E-3</v>
      </c>
      <c r="G19" s="42">
        <f>G20+G21</f>
        <v>13280.8</v>
      </c>
      <c r="H19" s="42">
        <f>H20+H21+H22+H23</f>
        <v>19</v>
      </c>
      <c r="I19" s="41">
        <f t="shared" si="6"/>
        <v>0.14306367086320101</v>
      </c>
      <c r="J19" s="42">
        <f>J20+J21</f>
        <v>32638.799999999999</v>
      </c>
      <c r="K19" s="41">
        <f>K20+K21+K22+K23</f>
        <v>0</v>
      </c>
      <c r="L19" s="41">
        <f t="shared" si="7"/>
        <v>0</v>
      </c>
      <c r="M19" s="42">
        <f>M20+M21</f>
        <v>35797.5</v>
      </c>
      <c r="N19" s="42">
        <f>N20+N21+N22+N23</f>
        <v>0</v>
      </c>
      <c r="O19" s="41">
        <f t="shared" si="8"/>
        <v>0</v>
      </c>
      <c r="P19" s="42">
        <f>P20+P21</f>
        <v>33901.699999999997</v>
      </c>
      <c r="Q19" s="42">
        <f>Q20+Q21+Q22</f>
        <v>0</v>
      </c>
      <c r="R19" s="41">
        <f t="shared" si="9"/>
        <v>0</v>
      </c>
      <c r="S19" s="42">
        <f>S20+S21</f>
        <v>41351.1</v>
      </c>
      <c r="T19" s="42">
        <f>T20+T21+T22+T23</f>
        <v>0</v>
      </c>
      <c r="U19" s="41">
        <f t="shared" si="10"/>
        <v>0</v>
      </c>
      <c r="V19" s="42">
        <f>V20+V21</f>
        <v>44739.7</v>
      </c>
      <c r="W19" s="50">
        <f>W20+W21+W22+W23</f>
        <v>0</v>
      </c>
      <c r="X19" s="41">
        <f t="shared" si="11"/>
        <v>0</v>
      </c>
      <c r="Y19" s="42">
        <f>Y20+Y21</f>
        <v>37694.300000000003</v>
      </c>
      <c r="Z19" s="42">
        <f>Z20+Z21</f>
        <v>0</v>
      </c>
      <c r="AA19" s="41">
        <f t="shared" si="12"/>
        <v>0</v>
      </c>
      <c r="AB19" s="42">
        <f>AB20+AB21</f>
        <v>37971.5</v>
      </c>
      <c r="AC19" s="40">
        <f>AC20+AC21</f>
        <v>0</v>
      </c>
      <c r="AD19" s="41">
        <f t="shared" si="13"/>
        <v>0</v>
      </c>
      <c r="AE19" s="42">
        <f>AE20+AE21</f>
        <v>33569.599999999999</v>
      </c>
      <c r="AF19" s="42">
        <f>AF20+AF21</f>
        <v>0</v>
      </c>
      <c r="AG19" s="41">
        <f t="shared" si="14"/>
        <v>0</v>
      </c>
      <c r="AH19" s="42">
        <f>AH20+AH21</f>
        <v>30941.599999999999</v>
      </c>
      <c r="AI19" s="42">
        <f>AI20+AI21</f>
        <v>0</v>
      </c>
      <c r="AJ19" s="41">
        <f t="shared" si="15"/>
        <v>0</v>
      </c>
      <c r="AK19" s="42">
        <f>AK20+AK21</f>
        <v>31834.5</v>
      </c>
      <c r="AL19" s="42">
        <f>AL20+AL21</f>
        <v>0</v>
      </c>
      <c r="AM19" s="41">
        <f t="shared" si="16"/>
        <v>0</v>
      </c>
      <c r="AN19" s="95">
        <f>AN20+AN21</f>
        <v>28131.7</v>
      </c>
      <c r="AO19" s="42">
        <v>0</v>
      </c>
      <c r="AP19" s="42">
        <v>0</v>
      </c>
      <c r="AQ19" s="19"/>
      <c r="AR19" s="88"/>
      <c r="AS19" s="83" t="s">
        <v>37</v>
      </c>
      <c r="AT19" s="84">
        <f>AT20+AT21+AT22+AT23</f>
        <v>401852.8</v>
      </c>
      <c r="AU19" s="85">
        <f>AT19-D19</f>
        <v>0</v>
      </c>
      <c r="AV19" s="86">
        <f>AV20+AV21+AV22+AV23</f>
        <v>19</v>
      </c>
      <c r="AW19" s="87">
        <f>AV19-E19</f>
        <v>0</v>
      </c>
      <c r="AX19" s="153" t="s">
        <v>29</v>
      </c>
      <c r="AY19" s="24" t="s">
        <v>21</v>
      </c>
    </row>
    <row r="20" spans="1:51" ht="26.25" customHeight="1" x14ac:dyDescent="0.25">
      <c r="A20" s="168"/>
      <c r="B20" s="154"/>
      <c r="C20" s="18" t="s">
        <v>22</v>
      </c>
      <c r="D20" s="52">
        <f>G20+J20+M20+P20+S20+V20+Y20+AB20+AE20+AH20+AK20+AN20</f>
        <v>401852.79999999993</v>
      </c>
      <c r="E20" s="48">
        <f>H20+K20+N20+Q20+T20+W20+Z20+AC20+AF20+AI20+AL20+AO20</f>
        <v>19</v>
      </c>
      <c r="F20" s="33">
        <v>0</v>
      </c>
      <c r="G20" s="38">
        <v>13280.8</v>
      </c>
      <c r="H20" s="33">
        <v>19</v>
      </c>
      <c r="I20" s="35">
        <f>H20/G20*100</f>
        <v>0.14306367086320101</v>
      </c>
      <c r="J20" s="38">
        <v>32638.799999999999</v>
      </c>
      <c r="K20" s="35">
        <v>0</v>
      </c>
      <c r="L20" s="35">
        <v>0</v>
      </c>
      <c r="M20" s="38">
        <v>35797.5</v>
      </c>
      <c r="N20" s="39">
        <v>0</v>
      </c>
      <c r="O20" s="35">
        <v>0</v>
      </c>
      <c r="P20" s="38">
        <v>33901.699999999997</v>
      </c>
      <c r="Q20" s="39">
        <v>0</v>
      </c>
      <c r="R20" s="36">
        <f t="shared" si="9"/>
        <v>0</v>
      </c>
      <c r="S20" s="38">
        <v>41351.1</v>
      </c>
      <c r="T20" s="39">
        <v>0</v>
      </c>
      <c r="U20" s="35">
        <f t="shared" si="10"/>
        <v>0</v>
      </c>
      <c r="V20" s="38">
        <v>44739.7</v>
      </c>
      <c r="W20" s="48">
        <v>0</v>
      </c>
      <c r="X20" s="35">
        <v>0</v>
      </c>
      <c r="Y20" s="38">
        <v>37694.300000000003</v>
      </c>
      <c r="Z20" s="39">
        <v>0</v>
      </c>
      <c r="AA20" s="35">
        <f t="shared" si="12"/>
        <v>0</v>
      </c>
      <c r="AB20" s="38">
        <v>37971.5</v>
      </c>
      <c r="AC20" s="39">
        <v>0</v>
      </c>
      <c r="AD20" s="35">
        <v>0</v>
      </c>
      <c r="AE20" s="38">
        <v>33569.599999999999</v>
      </c>
      <c r="AF20" s="39">
        <v>0</v>
      </c>
      <c r="AG20" s="35">
        <v>0</v>
      </c>
      <c r="AH20" s="38">
        <v>30941.599999999999</v>
      </c>
      <c r="AI20" s="39">
        <v>0</v>
      </c>
      <c r="AJ20" s="35">
        <v>0</v>
      </c>
      <c r="AK20" s="38">
        <v>31834.5</v>
      </c>
      <c r="AL20" s="39">
        <v>0</v>
      </c>
      <c r="AM20" s="35">
        <v>0</v>
      </c>
      <c r="AN20" s="93">
        <v>28131.7</v>
      </c>
      <c r="AO20" s="39">
        <v>0</v>
      </c>
      <c r="AP20" s="89">
        <v>0</v>
      </c>
      <c r="AQ20" s="22"/>
      <c r="AR20" s="10"/>
      <c r="AS20" s="62" t="s">
        <v>38</v>
      </c>
      <c r="AT20" s="66">
        <v>401852.8</v>
      </c>
      <c r="AU20" s="59">
        <f t="shared" si="3"/>
        <v>0</v>
      </c>
      <c r="AV20" s="68">
        <v>19</v>
      </c>
      <c r="AW20" s="61">
        <f>AV20-E20</f>
        <v>0</v>
      </c>
      <c r="AX20" s="154"/>
      <c r="AY20" s="18" t="s">
        <v>22</v>
      </c>
    </row>
    <row r="21" spans="1:51" ht="26.25" customHeight="1" x14ac:dyDescent="0.25">
      <c r="A21" s="168"/>
      <c r="B21" s="154"/>
      <c r="C21" s="21" t="s">
        <v>23</v>
      </c>
      <c r="D21" s="52">
        <f>G21+J21+M21+P21+S21+V21+Y21+AB21+AE21+AH21+AK21+AN21</f>
        <v>0</v>
      </c>
      <c r="E21" s="48">
        <f t="shared" si="1"/>
        <v>0</v>
      </c>
      <c r="F21" s="33" t="e">
        <f t="shared" si="2"/>
        <v>#DIV/0!</v>
      </c>
      <c r="G21" s="38">
        <v>0</v>
      </c>
      <c r="H21" s="33">
        <v>0</v>
      </c>
      <c r="I21" s="35" t="e">
        <f t="shared" si="6"/>
        <v>#DIV/0!</v>
      </c>
      <c r="J21" s="38">
        <v>0</v>
      </c>
      <c r="K21" s="35">
        <v>0</v>
      </c>
      <c r="L21" s="35" t="e">
        <f t="shared" si="7"/>
        <v>#DIV/0!</v>
      </c>
      <c r="M21" s="38">
        <v>0</v>
      </c>
      <c r="N21" s="39">
        <v>0</v>
      </c>
      <c r="O21" s="35" t="e">
        <f t="shared" si="8"/>
        <v>#DIV/0!</v>
      </c>
      <c r="P21" s="38">
        <v>0</v>
      </c>
      <c r="Q21" s="39">
        <v>0</v>
      </c>
      <c r="R21" s="36" t="e">
        <f t="shared" si="9"/>
        <v>#DIV/0!</v>
      </c>
      <c r="S21" s="38">
        <v>0</v>
      </c>
      <c r="T21" s="39">
        <v>0</v>
      </c>
      <c r="U21" s="35" t="e">
        <f t="shared" si="10"/>
        <v>#DIV/0!</v>
      </c>
      <c r="V21" s="38">
        <v>0</v>
      </c>
      <c r="W21" s="48">
        <v>0</v>
      </c>
      <c r="X21" s="35" t="e">
        <f t="shared" si="11"/>
        <v>#DIV/0!</v>
      </c>
      <c r="Y21" s="38">
        <v>0</v>
      </c>
      <c r="Z21" s="39">
        <v>0</v>
      </c>
      <c r="AA21" s="35" t="e">
        <f t="shared" si="12"/>
        <v>#DIV/0!</v>
      </c>
      <c r="AB21" s="38">
        <v>0</v>
      </c>
      <c r="AC21" s="39">
        <v>0</v>
      </c>
      <c r="AD21" s="35" t="e">
        <f t="shared" si="13"/>
        <v>#DIV/0!</v>
      </c>
      <c r="AE21" s="38">
        <v>0</v>
      </c>
      <c r="AF21" s="39">
        <v>0</v>
      </c>
      <c r="AG21" s="35" t="e">
        <f t="shared" si="14"/>
        <v>#DIV/0!</v>
      </c>
      <c r="AH21" s="38">
        <v>0</v>
      </c>
      <c r="AI21" s="39">
        <v>0</v>
      </c>
      <c r="AJ21" s="35">
        <v>0</v>
      </c>
      <c r="AK21" s="38">
        <v>0</v>
      </c>
      <c r="AL21" s="39">
        <v>0</v>
      </c>
      <c r="AM21" s="35" t="e">
        <f t="shared" si="16"/>
        <v>#DIV/0!</v>
      </c>
      <c r="AN21" s="93">
        <v>0</v>
      </c>
      <c r="AO21" s="39">
        <v>0</v>
      </c>
      <c r="AP21" s="89">
        <v>0</v>
      </c>
      <c r="AQ21" s="23"/>
      <c r="AR21" s="10"/>
      <c r="AS21" s="62" t="s">
        <v>39</v>
      </c>
      <c r="AT21" s="67">
        <v>0</v>
      </c>
      <c r="AU21" s="59">
        <f>AT21-D21</f>
        <v>0</v>
      </c>
      <c r="AV21" s="69">
        <v>0</v>
      </c>
      <c r="AW21" s="61">
        <f t="shared" si="4"/>
        <v>0</v>
      </c>
      <c r="AX21" s="154"/>
      <c r="AY21" s="21" t="s">
        <v>23</v>
      </c>
    </row>
    <row r="22" spans="1:51" ht="26.25" customHeight="1" x14ac:dyDescent="0.25">
      <c r="A22" s="168"/>
      <c r="B22" s="154"/>
      <c r="C22" s="21" t="s">
        <v>24</v>
      </c>
      <c r="D22" s="52">
        <f t="shared" ref="D22:D23" si="21">G22+J22+M22+P22+S22+V22+Y22+AB22+AE22+AH22+AK22+AN22</f>
        <v>0</v>
      </c>
      <c r="E22" s="48">
        <f t="shared" si="1"/>
        <v>0</v>
      </c>
      <c r="F22" s="33">
        <v>0</v>
      </c>
      <c r="G22" s="38">
        <v>0</v>
      </c>
      <c r="H22" s="33">
        <v>0</v>
      </c>
      <c r="I22" s="35">
        <v>0</v>
      </c>
      <c r="J22" s="38">
        <v>0</v>
      </c>
      <c r="K22" s="35">
        <v>0</v>
      </c>
      <c r="L22" s="35">
        <v>0</v>
      </c>
      <c r="M22" s="38">
        <v>0</v>
      </c>
      <c r="N22" s="39">
        <v>0</v>
      </c>
      <c r="O22" s="35">
        <v>0</v>
      </c>
      <c r="P22" s="38">
        <v>0</v>
      </c>
      <c r="Q22" s="39">
        <v>0</v>
      </c>
      <c r="R22" s="36">
        <v>0</v>
      </c>
      <c r="S22" s="38">
        <v>0</v>
      </c>
      <c r="T22" s="39">
        <v>0</v>
      </c>
      <c r="U22" s="35">
        <v>0</v>
      </c>
      <c r="V22" s="38">
        <v>0</v>
      </c>
      <c r="W22" s="48">
        <v>0</v>
      </c>
      <c r="X22" s="35">
        <v>0</v>
      </c>
      <c r="Y22" s="38">
        <v>0</v>
      </c>
      <c r="Z22" s="39">
        <v>0</v>
      </c>
      <c r="AA22" s="35">
        <v>0</v>
      </c>
      <c r="AB22" s="38">
        <v>0</v>
      </c>
      <c r="AC22" s="96">
        <v>0</v>
      </c>
      <c r="AD22" s="35">
        <v>0</v>
      </c>
      <c r="AE22" s="38">
        <v>0</v>
      </c>
      <c r="AF22" s="39">
        <v>0</v>
      </c>
      <c r="AG22" s="35">
        <v>0</v>
      </c>
      <c r="AH22" s="38">
        <v>0</v>
      </c>
      <c r="AI22" s="39">
        <v>0</v>
      </c>
      <c r="AJ22" s="35">
        <v>0</v>
      </c>
      <c r="AK22" s="38">
        <v>0</v>
      </c>
      <c r="AL22" s="39">
        <v>0</v>
      </c>
      <c r="AM22" s="35">
        <v>0</v>
      </c>
      <c r="AN22" s="93">
        <v>0</v>
      </c>
      <c r="AO22" s="39">
        <v>0</v>
      </c>
      <c r="AP22" s="39">
        <v>0</v>
      </c>
      <c r="AQ22" s="23"/>
      <c r="AR22" s="10"/>
      <c r="AS22" s="62" t="s">
        <v>40</v>
      </c>
      <c r="AT22" s="63">
        <v>0</v>
      </c>
      <c r="AU22" s="59">
        <f t="shared" si="3"/>
        <v>0</v>
      </c>
      <c r="AV22" s="64">
        <v>0</v>
      </c>
      <c r="AW22" s="61">
        <f t="shared" si="4"/>
        <v>0</v>
      </c>
      <c r="AX22" s="154"/>
      <c r="AY22" s="21" t="s">
        <v>24</v>
      </c>
    </row>
    <row r="23" spans="1:51" ht="26.25" customHeight="1" x14ac:dyDescent="0.25">
      <c r="A23" s="169"/>
      <c r="B23" s="155"/>
      <c r="C23" s="18" t="s">
        <v>25</v>
      </c>
      <c r="D23" s="52">
        <f t="shared" si="21"/>
        <v>0</v>
      </c>
      <c r="E23" s="48">
        <f t="shared" si="1"/>
        <v>0</v>
      </c>
      <c r="F23" s="33">
        <v>0</v>
      </c>
      <c r="G23" s="38">
        <v>0</v>
      </c>
      <c r="H23" s="33">
        <v>0</v>
      </c>
      <c r="I23" s="35">
        <v>0</v>
      </c>
      <c r="J23" s="38">
        <v>0</v>
      </c>
      <c r="K23" s="35">
        <v>0</v>
      </c>
      <c r="L23" s="35">
        <v>0</v>
      </c>
      <c r="M23" s="38">
        <v>0</v>
      </c>
      <c r="N23" s="39">
        <v>0</v>
      </c>
      <c r="O23" s="35">
        <v>0</v>
      </c>
      <c r="P23" s="38">
        <v>0</v>
      </c>
      <c r="Q23" s="39">
        <v>0</v>
      </c>
      <c r="R23" s="36">
        <v>0</v>
      </c>
      <c r="S23" s="38">
        <v>0</v>
      </c>
      <c r="T23" s="39">
        <v>0</v>
      </c>
      <c r="U23" s="35">
        <v>0</v>
      </c>
      <c r="V23" s="38">
        <v>0</v>
      </c>
      <c r="W23" s="48">
        <v>0</v>
      </c>
      <c r="X23" s="35">
        <v>0</v>
      </c>
      <c r="Y23" s="38">
        <v>0</v>
      </c>
      <c r="Z23" s="39">
        <v>0</v>
      </c>
      <c r="AA23" s="35">
        <v>0</v>
      </c>
      <c r="AB23" s="93">
        <v>0</v>
      </c>
      <c r="AC23" s="39">
        <v>0</v>
      </c>
      <c r="AD23" s="35">
        <v>0</v>
      </c>
      <c r="AE23" s="38">
        <v>0</v>
      </c>
      <c r="AF23" s="39">
        <v>0</v>
      </c>
      <c r="AG23" s="35">
        <v>0</v>
      </c>
      <c r="AH23" s="38">
        <v>0</v>
      </c>
      <c r="AI23" s="39">
        <v>0</v>
      </c>
      <c r="AJ23" s="35">
        <v>0</v>
      </c>
      <c r="AK23" s="38">
        <v>0</v>
      </c>
      <c r="AL23" s="39">
        <v>0</v>
      </c>
      <c r="AM23" s="35">
        <v>0</v>
      </c>
      <c r="AN23" s="38">
        <v>0</v>
      </c>
      <c r="AO23" s="39">
        <v>0</v>
      </c>
      <c r="AP23" s="39">
        <v>0</v>
      </c>
      <c r="AQ23" s="23"/>
      <c r="AR23" s="10"/>
      <c r="AS23" s="57" t="s">
        <v>41</v>
      </c>
      <c r="AT23" s="64">
        <v>0</v>
      </c>
      <c r="AU23" s="59">
        <f t="shared" si="3"/>
        <v>0</v>
      </c>
      <c r="AV23" s="64">
        <v>0</v>
      </c>
      <c r="AW23" s="61">
        <f t="shared" si="4"/>
        <v>0</v>
      </c>
      <c r="AX23" s="155"/>
      <c r="AY23" s="18" t="s">
        <v>25</v>
      </c>
    </row>
    <row r="24" spans="1:51" ht="15.75" x14ac:dyDescent="0.25">
      <c r="A24" s="3"/>
      <c r="B24" s="25"/>
      <c r="C24" s="26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1"/>
      <c r="X24" s="2"/>
      <c r="Y24" s="2"/>
      <c r="Z24" s="1"/>
      <c r="AA24" s="1"/>
      <c r="AB24" s="2"/>
      <c r="AC24" s="17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7"/>
      <c r="AO24" s="27"/>
      <c r="AP24" s="28"/>
      <c r="AQ24" s="28"/>
      <c r="AR24" s="3"/>
      <c r="AS24" s="55"/>
      <c r="AT24" s="55"/>
      <c r="AU24" s="55"/>
      <c r="AV24" s="55"/>
      <c r="AW24" s="65"/>
      <c r="AX24" s="3"/>
      <c r="AY24" s="3"/>
    </row>
    <row r="25" spans="1:51" ht="15.75" x14ac:dyDescent="0.25">
      <c r="A25" s="3"/>
      <c r="B25" s="170" t="s">
        <v>44</v>
      </c>
      <c r="C25" s="170"/>
      <c r="D25" s="170"/>
      <c r="E25" s="170"/>
      <c r="F25" s="170"/>
      <c r="G25" s="170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1"/>
      <c r="X25" s="2"/>
      <c r="Y25" s="2"/>
      <c r="Z25" s="1"/>
      <c r="AA25" s="1"/>
      <c r="AB25" s="2"/>
      <c r="AC25" s="17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7"/>
      <c r="AO25" s="27"/>
      <c r="AP25" s="28"/>
      <c r="AQ25" s="28"/>
      <c r="AR25" s="3"/>
      <c r="AS25" s="55"/>
      <c r="AT25" s="55"/>
      <c r="AU25" s="55"/>
      <c r="AV25" s="55"/>
      <c r="AW25" s="65"/>
      <c r="AX25" s="3"/>
      <c r="AY25" s="3"/>
    </row>
    <row r="26" spans="1:51" ht="32.25" customHeight="1" x14ac:dyDescent="0.25">
      <c r="A26" s="3"/>
      <c r="B26" s="166" t="s">
        <v>42</v>
      </c>
      <c r="C26" s="166"/>
      <c r="D26" s="166"/>
      <c r="E26" s="166"/>
      <c r="F26" s="166"/>
      <c r="G26" s="166"/>
      <c r="H26" s="166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7"/>
      <c r="AP26" s="28"/>
      <c r="AQ26" s="28"/>
      <c r="AR26" s="3"/>
      <c r="AS26" s="55"/>
      <c r="AT26" s="55"/>
      <c r="AU26" s="55"/>
      <c r="AV26" s="55"/>
      <c r="AW26" s="65"/>
      <c r="AX26" s="3"/>
      <c r="AY26" s="3"/>
    </row>
    <row r="27" spans="1:51" x14ac:dyDescent="0.25">
      <c r="B27" t="s">
        <v>45</v>
      </c>
      <c r="G27" s="45"/>
      <c r="M27" s="45"/>
    </row>
  </sheetData>
  <mergeCells count="37">
    <mergeCell ref="D1:O1"/>
    <mergeCell ref="A2:A3"/>
    <mergeCell ref="B2:B3"/>
    <mergeCell ref="C2:C3"/>
    <mergeCell ref="D2:F2"/>
    <mergeCell ref="G2:I2"/>
    <mergeCell ref="J2:L2"/>
    <mergeCell ref="M2:O2"/>
    <mergeCell ref="A4:A8"/>
    <mergeCell ref="B4:B8"/>
    <mergeCell ref="AH2:AJ2"/>
    <mergeCell ref="AK2:AM2"/>
    <mergeCell ref="AN2:AP2"/>
    <mergeCell ref="P2:R2"/>
    <mergeCell ref="S2:U2"/>
    <mergeCell ref="V2:X2"/>
    <mergeCell ref="Y2:AA2"/>
    <mergeCell ref="AB2:AD2"/>
    <mergeCell ref="AE2:AG2"/>
    <mergeCell ref="B26:H26"/>
    <mergeCell ref="A19:A23"/>
    <mergeCell ref="B19:B23"/>
    <mergeCell ref="A9:A13"/>
    <mergeCell ref="B9:B13"/>
    <mergeCell ref="A14:A18"/>
    <mergeCell ref="B14:B18"/>
    <mergeCell ref="B25:G25"/>
    <mergeCell ref="AT2:AT3"/>
    <mergeCell ref="AU2:AU3"/>
    <mergeCell ref="AV2:AV3"/>
    <mergeCell ref="AW2:AW3"/>
    <mergeCell ref="AX2:AX3"/>
    <mergeCell ref="AY2:AY3"/>
    <mergeCell ref="AX4:AX8"/>
    <mergeCell ref="AX9:AX13"/>
    <mergeCell ref="AX14:AX18"/>
    <mergeCell ref="AX19:AX23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68" fitToWidth="0" orientation="landscape" r:id="rId1"/>
  <colBreaks count="2" manualBreakCount="2">
    <brk id="21" max="1048575" man="1"/>
    <brk id="42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5"/>
  <sheetViews>
    <sheetView view="pageBreakPreview" topLeftCell="Q7" zoomScale="80" zoomScaleNormal="100" zoomScaleSheetLayoutView="80" workbookViewId="0">
      <selection activeCell="B33" sqref="B33:G33"/>
    </sheetView>
  </sheetViews>
  <sheetFormatPr defaultRowHeight="15" x14ac:dyDescent="0.25"/>
  <cols>
    <col min="1" max="1" width="4.5703125" customWidth="1"/>
    <col min="2" max="2" width="27.28515625" customWidth="1"/>
    <col min="3" max="3" width="9.28515625" customWidth="1"/>
    <col min="4" max="4" width="10.28515625" customWidth="1"/>
    <col min="5" max="5" width="10" customWidth="1"/>
    <col min="6" max="6" width="8.85546875" customWidth="1"/>
    <col min="7" max="8" width="9.28515625" customWidth="1"/>
    <col min="9" max="9" width="9.85546875" customWidth="1"/>
    <col min="10" max="10" width="9.28515625" customWidth="1"/>
    <col min="11" max="11" width="11.28515625" customWidth="1"/>
    <col min="12" max="12" width="9" customWidth="1"/>
    <col min="13" max="13" width="8.28515625" customWidth="1"/>
    <col min="14" max="14" width="8.5703125" style="32" customWidth="1"/>
    <col min="15" max="15" width="8.7109375" customWidth="1"/>
    <col min="16" max="17" width="9.28515625" style="32" customWidth="1"/>
    <col min="18" max="18" width="9.140625" style="32" customWidth="1"/>
    <col min="19" max="19" width="9.28515625" customWidth="1"/>
    <col min="20" max="20" width="9.28515625" style="32" customWidth="1"/>
    <col min="21" max="21" width="10.140625" customWidth="1"/>
    <col min="22" max="22" width="10.85546875" customWidth="1"/>
    <col min="23" max="23" width="8.7109375" customWidth="1"/>
    <col min="24" max="24" width="9.140625" customWidth="1"/>
    <col min="25" max="25" width="9.28515625" customWidth="1"/>
    <col min="26" max="26" width="8.28515625" customWidth="1"/>
    <col min="27" max="28" width="8.42578125" customWidth="1"/>
    <col min="29" max="29" width="9.28515625" customWidth="1"/>
    <col min="30" max="30" width="8.140625" customWidth="1"/>
    <col min="31" max="31" width="11.28515625" customWidth="1"/>
    <col min="32" max="32" width="7.28515625" customWidth="1"/>
    <col min="33" max="33" width="8.140625" customWidth="1"/>
    <col min="34" max="34" width="10.5703125" customWidth="1"/>
    <col min="35" max="35" width="10.42578125" customWidth="1"/>
    <col min="36" max="36" width="5.7109375" customWidth="1"/>
    <col min="37" max="37" width="9.42578125" customWidth="1"/>
    <col min="38" max="38" width="10.28515625" customWidth="1"/>
    <col min="39" max="39" width="8.5703125" customWidth="1"/>
    <col min="40" max="40" width="8.140625" customWidth="1"/>
    <col min="41" max="42" width="4.5703125" customWidth="1"/>
    <col min="43" max="43" width="2.7109375" customWidth="1"/>
    <col min="45" max="45" width="7.28515625" customWidth="1"/>
    <col min="46" max="46" width="12.7109375" customWidth="1"/>
    <col min="47" max="47" width="13.28515625" customWidth="1"/>
    <col min="48" max="48" width="16.140625" customWidth="1"/>
    <col min="49" max="49" width="17.5703125" customWidth="1"/>
    <col min="50" max="50" width="13" customWidth="1"/>
    <col min="51" max="51" width="12.28515625" customWidth="1"/>
  </cols>
  <sheetData>
    <row r="1" spans="1:51" ht="15.75" x14ac:dyDescent="0.25">
      <c r="A1" s="4"/>
      <c r="B1" s="97"/>
      <c r="C1" s="98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101"/>
      <c r="Q1" s="101"/>
      <c r="R1" s="8"/>
      <c r="S1" s="8"/>
      <c r="T1" s="8"/>
      <c r="U1" s="8"/>
      <c r="V1" s="8"/>
      <c r="W1" s="9"/>
      <c r="X1" s="8"/>
      <c r="Y1" s="8"/>
      <c r="Z1" s="9"/>
      <c r="AA1" s="9"/>
      <c r="AB1" s="8"/>
      <c r="AC1" s="8"/>
      <c r="AD1" s="8"/>
      <c r="AE1" s="8"/>
      <c r="AF1" s="8"/>
      <c r="AG1" s="8"/>
      <c r="AH1" s="8"/>
      <c r="AI1" s="8"/>
      <c r="AJ1" s="8"/>
      <c r="AK1" s="8"/>
      <c r="AL1" s="243" t="s">
        <v>49</v>
      </c>
      <c r="AM1" s="192"/>
      <c r="AN1" s="192"/>
      <c r="AO1" s="192"/>
      <c r="AP1" s="192"/>
      <c r="AQ1" s="4"/>
      <c r="AR1" s="4"/>
      <c r="AS1" s="53"/>
      <c r="AU1" s="53"/>
      <c r="AV1" s="53"/>
      <c r="AW1" s="54"/>
      <c r="AX1" s="4"/>
      <c r="AY1" s="4"/>
    </row>
    <row r="2" spans="1:51" ht="15.75" x14ac:dyDescent="0.25">
      <c r="A2" s="4"/>
      <c r="B2" s="97"/>
      <c r="C2" s="98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01"/>
      <c r="Q2" s="101"/>
      <c r="R2" s="8"/>
      <c r="S2" s="8"/>
      <c r="T2" s="8"/>
      <c r="U2" s="8"/>
      <c r="V2" s="8"/>
      <c r="W2" s="9"/>
      <c r="X2" s="8"/>
      <c r="Y2" s="8"/>
      <c r="Z2" s="245" t="s">
        <v>50</v>
      </c>
      <c r="AA2" s="245"/>
      <c r="AB2" s="245"/>
      <c r="AC2" s="245"/>
      <c r="AD2" s="245"/>
      <c r="AE2" s="245"/>
      <c r="AF2" s="245"/>
      <c r="AG2" s="245"/>
      <c r="AH2" s="245"/>
      <c r="AI2" s="245"/>
      <c r="AJ2" s="245"/>
      <c r="AK2" s="245"/>
      <c r="AL2" s="245"/>
      <c r="AM2" s="245"/>
      <c r="AN2" s="245"/>
      <c r="AO2" s="245"/>
      <c r="AP2" s="245"/>
      <c r="AQ2" s="4"/>
      <c r="AR2" s="4"/>
      <c r="AS2" s="53"/>
      <c r="AT2" s="53"/>
      <c r="AU2" s="53"/>
      <c r="AV2" s="53"/>
      <c r="AW2" s="54"/>
      <c r="AX2" s="4"/>
      <c r="AY2" s="4"/>
    </row>
    <row r="3" spans="1:51" ht="15.75" x14ac:dyDescent="0.25">
      <c r="A3" s="4"/>
      <c r="B3" s="97"/>
      <c r="C3" s="98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01"/>
      <c r="Q3" s="101"/>
      <c r="R3" s="8"/>
      <c r="S3" s="8"/>
      <c r="T3" s="8"/>
      <c r="U3" s="8"/>
      <c r="V3" s="8"/>
      <c r="W3" s="9"/>
      <c r="X3" s="8"/>
      <c r="Y3" s="8"/>
      <c r="Z3" s="9"/>
      <c r="AA3" s="9"/>
      <c r="AB3" s="8"/>
      <c r="AC3" s="8"/>
      <c r="AD3" s="8"/>
      <c r="AE3" s="8"/>
      <c r="AF3" s="8"/>
      <c r="AG3" s="8"/>
      <c r="AH3" s="8"/>
      <c r="AI3" s="8"/>
      <c r="AJ3" s="8"/>
      <c r="AK3" s="8"/>
      <c r="AL3" s="243" t="s">
        <v>51</v>
      </c>
      <c r="AM3" s="192"/>
      <c r="AN3" s="192"/>
      <c r="AO3" s="192"/>
      <c r="AP3" s="192"/>
      <c r="AQ3" s="4"/>
      <c r="AR3" s="4"/>
      <c r="AS3" s="53"/>
      <c r="AT3" s="53"/>
      <c r="AU3" s="53"/>
      <c r="AV3" s="53"/>
      <c r="AW3" s="54"/>
      <c r="AX3" s="4"/>
      <c r="AY3" s="4"/>
    </row>
    <row r="4" spans="1:51" ht="15.75" x14ac:dyDescent="0.25">
      <c r="A4" s="4"/>
      <c r="B4" s="97"/>
      <c r="C4" s="98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01"/>
      <c r="Q4" s="101"/>
      <c r="R4" s="8"/>
      <c r="S4" s="8"/>
      <c r="T4" s="8"/>
      <c r="U4" s="8"/>
      <c r="V4" s="8"/>
      <c r="W4" s="9"/>
      <c r="X4" s="8"/>
      <c r="Y4" s="8"/>
      <c r="Z4" s="9"/>
      <c r="AA4" s="9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4"/>
      <c r="AQ4" s="4"/>
      <c r="AR4" s="4"/>
      <c r="AS4" s="53"/>
      <c r="AT4" s="53"/>
      <c r="AU4" s="53"/>
      <c r="AV4" s="53"/>
      <c r="AW4" s="54"/>
      <c r="AX4" s="4"/>
      <c r="AY4" s="4"/>
    </row>
    <row r="5" spans="1:51" ht="15.75" x14ac:dyDescent="0.25">
      <c r="A5" s="4"/>
      <c r="B5" s="97"/>
      <c r="C5" s="98"/>
      <c r="D5" s="133"/>
      <c r="E5" s="226" t="s">
        <v>46</v>
      </c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9"/>
      <c r="AA5" s="9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4"/>
      <c r="AQ5" s="4"/>
      <c r="AR5" s="4"/>
      <c r="AS5" s="53"/>
      <c r="AT5" s="53"/>
      <c r="AU5" s="53"/>
      <c r="AV5" s="53"/>
      <c r="AW5" s="54"/>
      <c r="AX5" s="4"/>
      <c r="AY5" s="4"/>
    </row>
    <row r="6" spans="1:51" ht="15.75" x14ac:dyDescent="0.25">
      <c r="A6" s="4"/>
      <c r="B6" s="97"/>
      <c r="C6" s="98"/>
      <c r="D6" s="133"/>
      <c r="E6" s="226" t="s">
        <v>47</v>
      </c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9"/>
      <c r="AA6" s="9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4"/>
      <c r="AQ6" s="4"/>
      <c r="AR6" s="4"/>
      <c r="AS6" s="53"/>
      <c r="AT6" s="53"/>
      <c r="AU6" s="53"/>
      <c r="AV6" s="53"/>
      <c r="AW6" s="54"/>
      <c r="AX6" s="4"/>
      <c r="AY6" s="4"/>
    </row>
    <row r="7" spans="1:51" ht="15.75" x14ac:dyDescent="0.25">
      <c r="A7" s="4"/>
      <c r="B7" s="97"/>
      <c r="C7" s="98"/>
      <c r="D7" s="133"/>
      <c r="E7" s="226" t="s">
        <v>101</v>
      </c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9"/>
      <c r="AA7" s="9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4"/>
      <c r="AQ7" s="4"/>
      <c r="AR7" s="4"/>
      <c r="AS7" s="53"/>
      <c r="AT7" s="53"/>
      <c r="AU7" s="53"/>
      <c r="AV7" s="53"/>
      <c r="AW7" s="54"/>
      <c r="AX7" s="4"/>
      <c r="AY7" s="4"/>
    </row>
    <row r="8" spans="1:51" ht="15.75" hidden="1" x14ac:dyDescent="0.25">
      <c r="A8" s="4"/>
      <c r="B8" s="97"/>
      <c r="C8" s="98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01"/>
      <c r="Q8" s="101"/>
      <c r="R8" s="8"/>
      <c r="S8" s="8"/>
      <c r="T8" s="8"/>
      <c r="U8" s="8"/>
      <c r="V8" s="8"/>
      <c r="W8" s="9"/>
      <c r="X8" s="8"/>
      <c r="Y8" s="8"/>
      <c r="Z8" s="9"/>
      <c r="AA8" s="9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4"/>
      <c r="AQ8" s="4"/>
      <c r="AR8" s="4"/>
      <c r="AS8" s="53"/>
      <c r="AT8" s="53"/>
      <c r="AU8" s="53"/>
      <c r="AV8" s="53"/>
      <c r="AW8" s="54"/>
      <c r="AX8" s="4"/>
      <c r="AY8" s="4"/>
    </row>
    <row r="9" spans="1:51" ht="15.75" x14ac:dyDescent="0.25">
      <c r="A9" s="4"/>
      <c r="B9" s="97"/>
      <c r="C9" s="9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7"/>
      <c r="Q9" s="7"/>
      <c r="R9" s="8"/>
      <c r="S9" s="8"/>
      <c r="T9" s="8"/>
      <c r="U9" s="8"/>
      <c r="V9" s="8"/>
      <c r="W9" s="9"/>
      <c r="X9" s="8"/>
      <c r="Y9" s="8"/>
      <c r="Z9" s="9"/>
      <c r="AA9" s="9"/>
      <c r="AB9" s="8"/>
      <c r="AC9" s="8"/>
      <c r="AD9" s="8"/>
      <c r="AE9" s="8"/>
      <c r="AF9" s="8"/>
      <c r="AG9" s="8"/>
      <c r="AH9" s="8"/>
      <c r="AI9" s="8"/>
      <c r="AJ9" s="8"/>
      <c r="AK9" s="8"/>
      <c r="AL9" s="218" t="s">
        <v>52</v>
      </c>
      <c r="AM9" s="219"/>
      <c r="AN9" s="219"/>
      <c r="AO9" s="219"/>
      <c r="AP9" s="219"/>
      <c r="AQ9" s="4"/>
      <c r="AR9" s="4"/>
      <c r="AS9" s="53"/>
      <c r="AT9" s="53" t="s">
        <v>33</v>
      </c>
      <c r="AU9" s="53"/>
      <c r="AV9" s="53"/>
      <c r="AW9" s="54"/>
      <c r="AX9" s="4"/>
      <c r="AY9" s="4"/>
    </row>
    <row r="10" spans="1:51" ht="15" customHeight="1" x14ac:dyDescent="0.25">
      <c r="A10" s="164" t="s">
        <v>0</v>
      </c>
      <c r="B10" s="164" t="s">
        <v>1</v>
      </c>
      <c r="C10" s="148" t="s">
        <v>2</v>
      </c>
      <c r="D10" s="183" t="s">
        <v>43</v>
      </c>
      <c r="E10" s="184"/>
      <c r="F10" s="185"/>
      <c r="G10" s="186" t="s">
        <v>3</v>
      </c>
      <c r="H10" s="187"/>
      <c r="I10" s="188"/>
      <c r="J10" s="186" t="s">
        <v>4</v>
      </c>
      <c r="K10" s="187"/>
      <c r="L10" s="188"/>
      <c r="M10" s="177" t="s">
        <v>5</v>
      </c>
      <c r="N10" s="178"/>
      <c r="O10" s="179"/>
      <c r="P10" s="177" t="s">
        <v>6</v>
      </c>
      <c r="Q10" s="178"/>
      <c r="R10" s="179"/>
      <c r="S10" s="175" t="s">
        <v>7</v>
      </c>
      <c r="T10" s="175"/>
      <c r="U10" s="175"/>
      <c r="V10" s="180" t="s">
        <v>8</v>
      </c>
      <c r="W10" s="180"/>
      <c r="X10" s="180"/>
      <c r="Y10" s="175" t="s">
        <v>9</v>
      </c>
      <c r="Z10" s="175"/>
      <c r="AA10" s="175"/>
      <c r="AB10" s="181" t="s">
        <v>10</v>
      </c>
      <c r="AC10" s="181"/>
      <c r="AD10" s="181"/>
      <c r="AE10" s="181" t="s">
        <v>11</v>
      </c>
      <c r="AF10" s="181"/>
      <c r="AG10" s="181"/>
      <c r="AH10" s="174" t="s">
        <v>12</v>
      </c>
      <c r="AI10" s="174"/>
      <c r="AJ10" s="174"/>
      <c r="AK10" s="175" t="s">
        <v>13</v>
      </c>
      <c r="AL10" s="175"/>
      <c r="AM10" s="175"/>
      <c r="AN10" s="176" t="s">
        <v>14</v>
      </c>
      <c r="AO10" s="176"/>
      <c r="AP10" s="176"/>
      <c r="AQ10" s="10"/>
      <c r="AR10" s="10"/>
      <c r="AS10" s="55"/>
      <c r="AT10" s="156" t="s">
        <v>94</v>
      </c>
      <c r="AU10" s="158" t="s">
        <v>34</v>
      </c>
      <c r="AV10" s="160" t="s">
        <v>35</v>
      </c>
      <c r="AW10" s="162" t="s">
        <v>36</v>
      </c>
      <c r="AX10" s="164" t="s">
        <v>1</v>
      </c>
      <c r="AY10" s="148" t="s">
        <v>2</v>
      </c>
    </row>
    <row r="11" spans="1:51" ht="25.5" x14ac:dyDescent="0.25">
      <c r="A11" s="165"/>
      <c r="B11" s="165"/>
      <c r="C11" s="149"/>
      <c r="D11" s="11" t="s">
        <v>15</v>
      </c>
      <c r="E11" s="11" t="s">
        <v>16</v>
      </c>
      <c r="F11" s="12" t="s">
        <v>17</v>
      </c>
      <c r="G11" s="13" t="s">
        <v>18</v>
      </c>
      <c r="H11" s="130" t="s">
        <v>19</v>
      </c>
      <c r="I11" s="14" t="s">
        <v>17</v>
      </c>
      <c r="J11" s="13" t="s">
        <v>18</v>
      </c>
      <c r="K11" s="130" t="s">
        <v>19</v>
      </c>
      <c r="L11" s="14" t="s">
        <v>17</v>
      </c>
      <c r="M11" s="13" t="s">
        <v>18</v>
      </c>
      <c r="N11" s="129" t="s">
        <v>19</v>
      </c>
      <c r="O11" s="14" t="s">
        <v>17</v>
      </c>
      <c r="P11" s="13" t="s">
        <v>18</v>
      </c>
      <c r="Q11" s="129" t="s">
        <v>19</v>
      </c>
      <c r="R11" s="129" t="s">
        <v>17</v>
      </c>
      <c r="S11" s="13" t="s">
        <v>18</v>
      </c>
      <c r="T11" s="129" t="s">
        <v>19</v>
      </c>
      <c r="U11" s="14" t="s">
        <v>17</v>
      </c>
      <c r="V11" s="13" t="s">
        <v>18</v>
      </c>
      <c r="W11" s="129" t="s">
        <v>19</v>
      </c>
      <c r="X11" s="14" t="s">
        <v>17</v>
      </c>
      <c r="Y11" s="13" t="s">
        <v>18</v>
      </c>
      <c r="Z11" s="129" t="s">
        <v>19</v>
      </c>
      <c r="AA11" s="130" t="s">
        <v>17</v>
      </c>
      <c r="AB11" s="13" t="s">
        <v>18</v>
      </c>
      <c r="AC11" s="129" t="s">
        <v>19</v>
      </c>
      <c r="AD11" s="14" t="s">
        <v>17</v>
      </c>
      <c r="AE11" s="13" t="s">
        <v>18</v>
      </c>
      <c r="AF11" s="129" t="s">
        <v>19</v>
      </c>
      <c r="AG11" s="14" t="s">
        <v>17</v>
      </c>
      <c r="AH11" s="13" t="s">
        <v>18</v>
      </c>
      <c r="AI11" s="129" t="s">
        <v>19</v>
      </c>
      <c r="AJ11" s="14" t="s">
        <v>17</v>
      </c>
      <c r="AK11" s="13" t="s">
        <v>18</v>
      </c>
      <c r="AL11" s="129" t="s">
        <v>19</v>
      </c>
      <c r="AM11" s="14" t="s">
        <v>17</v>
      </c>
      <c r="AN11" s="15" t="s">
        <v>18</v>
      </c>
      <c r="AO11" s="129" t="s">
        <v>19</v>
      </c>
      <c r="AP11" s="16" t="s">
        <v>17</v>
      </c>
      <c r="AQ11" s="10"/>
      <c r="AR11" s="10"/>
      <c r="AS11" s="56"/>
      <c r="AT11" s="157"/>
      <c r="AU11" s="159"/>
      <c r="AV11" s="161"/>
      <c r="AW11" s="163"/>
      <c r="AX11" s="165"/>
      <c r="AY11" s="149"/>
    </row>
    <row r="12" spans="1:51" ht="28.5" customHeight="1" x14ac:dyDescent="0.25">
      <c r="A12" s="171"/>
      <c r="B12" s="150" t="s">
        <v>98</v>
      </c>
      <c r="C12" s="18" t="s">
        <v>21</v>
      </c>
      <c r="D12" s="49">
        <f>G12+J12+M12+P12+S12+V12+Y12+AB12+AE12+AH12+AK12+AN12</f>
        <v>433664.22000000003</v>
      </c>
      <c r="E12" s="49">
        <f>H12+K12+N12+Q12+T12+W12+Z12+AC12+AF12+AI12+AL12+AO12</f>
        <v>209520.43999999997</v>
      </c>
      <c r="F12" s="33">
        <f>E12/D12*100</f>
        <v>48.313978958190269</v>
      </c>
      <c r="G12" s="34">
        <f>G17+G22+G27</f>
        <v>13280.8</v>
      </c>
      <c r="H12" s="35">
        <f t="shared" ref="H12:AP15" si="0">H17+H22+H27</f>
        <v>19047.900000000001</v>
      </c>
      <c r="I12" s="34">
        <f>H12/G12*100</f>
        <v>143.42434190711404</v>
      </c>
      <c r="J12" s="34">
        <f t="shared" si="0"/>
        <v>32912.5</v>
      </c>
      <c r="K12" s="35">
        <f t="shared" si="0"/>
        <v>21862.16</v>
      </c>
      <c r="L12" s="34">
        <f>K12/J12*100</f>
        <v>66.425096847702235</v>
      </c>
      <c r="M12" s="34">
        <f t="shared" si="0"/>
        <v>36868.1</v>
      </c>
      <c r="N12" s="36">
        <f t="shared" si="0"/>
        <v>31351.95</v>
      </c>
      <c r="O12" s="34">
        <f t="shared" si="0"/>
        <v>195.46194409354513</v>
      </c>
      <c r="P12" s="34">
        <f t="shared" si="0"/>
        <v>36206.519999999997</v>
      </c>
      <c r="Q12" s="36">
        <f t="shared" si="0"/>
        <v>44496.82</v>
      </c>
      <c r="R12" s="36">
        <f t="shared" si="0"/>
        <v>185.60477317288604</v>
      </c>
      <c r="S12" s="34">
        <f t="shared" si="0"/>
        <v>47381.159999999996</v>
      </c>
      <c r="T12" s="36">
        <f t="shared" si="0"/>
        <v>31546.05</v>
      </c>
      <c r="U12" s="34">
        <f t="shared" si="0"/>
        <v>175.20772127718746</v>
      </c>
      <c r="V12" s="34">
        <f t="shared" si="0"/>
        <v>49901.01</v>
      </c>
      <c r="W12" s="46">
        <f>W13+W14+W15+W16</f>
        <v>61215.56</v>
      </c>
      <c r="X12" s="34">
        <f t="shared" si="0"/>
        <v>168.57701317607683</v>
      </c>
      <c r="Y12" s="34">
        <f t="shared" si="0"/>
        <v>42041.420000000006</v>
      </c>
      <c r="Z12" s="34">
        <f t="shared" si="0"/>
        <v>0</v>
      </c>
      <c r="AA12" s="34">
        <f t="shared" si="0"/>
        <v>0</v>
      </c>
      <c r="AB12" s="34">
        <f t="shared" si="0"/>
        <v>41016.120000000003</v>
      </c>
      <c r="AC12" s="34">
        <f t="shared" si="0"/>
        <v>0</v>
      </c>
      <c r="AD12" s="34">
        <f t="shared" si="0"/>
        <v>0</v>
      </c>
      <c r="AE12" s="34">
        <f t="shared" si="0"/>
        <v>36189.520000000004</v>
      </c>
      <c r="AF12" s="34">
        <f t="shared" si="0"/>
        <v>0</v>
      </c>
      <c r="AG12" s="34">
        <f t="shared" si="0"/>
        <v>0</v>
      </c>
      <c r="AH12" s="34">
        <f t="shared" si="0"/>
        <v>33152.629999999997</v>
      </c>
      <c r="AI12" s="34">
        <f t="shared" si="0"/>
        <v>0</v>
      </c>
      <c r="AJ12" s="34">
        <f t="shared" si="0"/>
        <v>0</v>
      </c>
      <c r="AK12" s="34">
        <f t="shared" si="0"/>
        <v>34126.92</v>
      </c>
      <c r="AL12" s="34">
        <f t="shared" si="0"/>
        <v>0</v>
      </c>
      <c r="AM12" s="34">
        <f t="shared" si="0"/>
        <v>0</v>
      </c>
      <c r="AN12" s="34">
        <f t="shared" si="0"/>
        <v>30587.520000000004</v>
      </c>
      <c r="AO12" s="34">
        <f t="shared" si="0"/>
        <v>0</v>
      </c>
      <c r="AP12" s="34">
        <f t="shared" si="0"/>
        <v>0</v>
      </c>
      <c r="AQ12" s="19"/>
      <c r="AR12" s="20"/>
      <c r="AS12" s="57" t="s">
        <v>37</v>
      </c>
      <c r="AT12" s="79">
        <f>AT13+AT14+AT15+AT16</f>
        <v>433664.22000000003</v>
      </c>
      <c r="AU12" s="80">
        <f>AT12-D12</f>
        <v>0</v>
      </c>
      <c r="AV12" s="81">
        <f>AV13+AV14+AV15+AV16</f>
        <v>209520.44100000002</v>
      </c>
      <c r="AW12" s="61">
        <f>AV12-E12</f>
        <v>1.0000000474974513E-3</v>
      </c>
      <c r="AX12" s="150" t="s">
        <v>98</v>
      </c>
      <c r="AY12" s="18" t="s">
        <v>21</v>
      </c>
    </row>
    <row r="13" spans="1:51" ht="39" customHeight="1" x14ac:dyDescent="0.25">
      <c r="A13" s="172"/>
      <c r="B13" s="151"/>
      <c r="C13" s="21" t="s">
        <v>22</v>
      </c>
      <c r="D13" s="51">
        <f>G13+J13+M13+P13+S13+V13+Y13+AB13+AE13+AH13+AK13+AN13</f>
        <v>418947.10000000009</v>
      </c>
      <c r="E13" s="51">
        <f t="shared" ref="E13:E31" si="1">H13+K13+N13+Q13+T13+W13+Z13+AC13+AF13+AI13+AL13+AO13</f>
        <v>209165.87</v>
      </c>
      <c r="F13" s="33">
        <f t="shared" ref="F13:F29" si="2">E13/D13*100</f>
        <v>49.926558746915767</v>
      </c>
      <c r="G13" s="34">
        <f>G18+G23+G28</f>
        <v>13280.8</v>
      </c>
      <c r="H13" s="35">
        <f t="shared" si="0"/>
        <v>19047.900000000001</v>
      </c>
      <c r="I13" s="34">
        <f>H13/G13*100</f>
        <v>143.42434190711404</v>
      </c>
      <c r="J13" s="34">
        <f t="shared" si="0"/>
        <v>32912.5</v>
      </c>
      <c r="K13" s="35">
        <f t="shared" si="0"/>
        <v>21862.16</v>
      </c>
      <c r="L13" s="34">
        <f t="shared" si="0"/>
        <v>2.2336227308603003</v>
      </c>
      <c r="M13" s="34">
        <f t="shared" si="0"/>
        <v>36815.800000000003</v>
      </c>
      <c r="N13" s="36">
        <f>N18+N23+N28</f>
        <v>31351.95</v>
      </c>
      <c r="O13" s="34">
        <v>0</v>
      </c>
      <c r="P13" s="34">
        <f t="shared" si="0"/>
        <v>34719.099999999991</v>
      </c>
      <c r="Q13" s="36">
        <f t="shared" si="0"/>
        <v>44496.82</v>
      </c>
      <c r="R13" s="36">
        <f t="shared" si="0"/>
        <v>281.39948044811138</v>
      </c>
      <c r="S13" s="34">
        <f t="shared" si="0"/>
        <v>44288.929999999993</v>
      </c>
      <c r="T13" s="36">
        <f t="shared" si="0"/>
        <v>31267.039999999997</v>
      </c>
      <c r="U13" s="34">
        <f t="shared" si="0"/>
        <v>172.13007443520539</v>
      </c>
      <c r="V13" s="34">
        <f t="shared" si="0"/>
        <v>48457.58</v>
      </c>
      <c r="W13" s="46">
        <f t="shared" si="0"/>
        <v>61140</v>
      </c>
      <c r="X13" s="34">
        <f t="shared" si="0"/>
        <v>40.212523661150883</v>
      </c>
      <c r="Y13" s="34">
        <f t="shared" si="0"/>
        <v>40646.390000000007</v>
      </c>
      <c r="Z13" s="34">
        <f t="shared" si="0"/>
        <v>0</v>
      </c>
      <c r="AA13" s="34">
        <f t="shared" si="0"/>
        <v>0</v>
      </c>
      <c r="AB13" s="34">
        <f t="shared" si="0"/>
        <v>39561.590000000004</v>
      </c>
      <c r="AC13" s="34">
        <f t="shared" si="0"/>
        <v>0</v>
      </c>
      <c r="AD13" s="34">
        <f t="shared" si="0"/>
        <v>0</v>
      </c>
      <c r="AE13" s="34">
        <f t="shared" si="0"/>
        <v>34660.19</v>
      </c>
      <c r="AF13" s="34">
        <f t="shared" si="0"/>
        <v>0</v>
      </c>
      <c r="AG13" s="34">
        <f t="shared" si="0"/>
        <v>0</v>
      </c>
      <c r="AH13" s="34">
        <f t="shared" si="0"/>
        <v>31710.799999999999</v>
      </c>
      <c r="AI13" s="34">
        <f t="shared" si="0"/>
        <v>0</v>
      </c>
      <c r="AJ13" s="34">
        <f t="shared" si="0"/>
        <v>0</v>
      </c>
      <c r="AK13" s="34">
        <f t="shared" si="0"/>
        <v>32700.9</v>
      </c>
      <c r="AL13" s="34">
        <f t="shared" si="0"/>
        <v>0</v>
      </c>
      <c r="AM13" s="34">
        <f t="shared" si="0"/>
        <v>0</v>
      </c>
      <c r="AN13" s="34">
        <f t="shared" si="0"/>
        <v>29192.52</v>
      </c>
      <c r="AO13" s="34">
        <f t="shared" si="0"/>
        <v>0</v>
      </c>
      <c r="AP13" s="89">
        <v>0</v>
      </c>
      <c r="AQ13" s="22"/>
      <c r="AR13" s="10"/>
      <c r="AS13" s="62" t="s">
        <v>38</v>
      </c>
      <c r="AT13" s="79">
        <f>AT18+AT23+AT28</f>
        <v>418947.1</v>
      </c>
      <c r="AU13" s="80">
        <f t="shared" ref="AU13:AU31" si="3">AT13-D13</f>
        <v>0</v>
      </c>
      <c r="AV13" s="81">
        <f>AV18+AV23+AV28</f>
        <v>209165.87100000001</v>
      </c>
      <c r="AW13" s="61">
        <f t="shared" ref="AW13:AW31" si="4">AV13-E13</f>
        <v>1.0000000183936208E-3</v>
      </c>
      <c r="AX13" s="151"/>
      <c r="AY13" s="21" t="s">
        <v>22</v>
      </c>
    </row>
    <row r="14" spans="1:51" ht="26.25" customHeight="1" x14ac:dyDescent="0.25">
      <c r="A14" s="172"/>
      <c r="B14" s="151"/>
      <c r="C14" s="21" t="s">
        <v>23</v>
      </c>
      <c r="D14" s="51">
        <f t="shared" ref="D14:D26" si="5">G14+J14+M14+P14+S14+V14+Y14+AB14+AE14+AH14+AK14+AN14</f>
        <v>9266.84</v>
      </c>
      <c r="E14" s="51">
        <f>H14+K14+N14+Q14+T14+W14+Z14+AC14+AF14+AI14+AL14+AO14</f>
        <v>354.57</v>
      </c>
      <c r="F14" s="33">
        <f t="shared" si="2"/>
        <v>3.8262233943825512</v>
      </c>
      <c r="G14" s="34">
        <f>G19+G24+G29</f>
        <v>0</v>
      </c>
      <c r="H14" s="35">
        <f>H19+H29</f>
        <v>0</v>
      </c>
      <c r="I14" s="35" t="e">
        <f>H14/G14*100</f>
        <v>#DIV/0!</v>
      </c>
      <c r="J14" s="34">
        <f>J19+J24+J29</f>
        <v>0</v>
      </c>
      <c r="K14" s="35">
        <f>K19+K24+K29</f>
        <v>0</v>
      </c>
      <c r="L14" s="35" t="e">
        <f t="shared" ref="L14:L29" si="6">K14/J14*100</f>
        <v>#DIV/0!</v>
      </c>
      <c r="M14" s="34">
        <f>M19+M24+M29</f>
        <v>52.3</v>
      </c>
      <c r="N14" s="36">
        <f>N19+N24+N29</f>
        <v>0</v>
      </c>
      <c r="O14" s="35">
        <f t="shared" ref="O14:O29" si="7">N14/M14*100</f>
        <v>0</v>
      </c>
      <c r="P14" s="34">
        <f t="shared" si="0"/>
        <v>881.84</v>
      </c>
      <c r="Q14" s="36">
        <f>Q19+Q24+Q29</f>
        <v>0</v>
      </c>
      <c r="R14" s="36">
        <f t="shared" ref="R14:R29" si="8">Q14/P14*100</f>
        <v>0</v>
      </c>
      <c r="S14" s="37">
        <f t="shared" si="0"/>
        <v>2486.6400000000003</v>
      </c>
      <c r="T14" s="36">
        <f>T19+T24+T29</f>
        <v>279.01</v>
      </c>
      <c r="U14" s="35">
        <f t="shared" ref="U14:U29" si="9">T14/S14*100</f>
        <v>11.220361612456967</v>
      </c>
      <c r="V14" s="37">
        <f t="shared" si="0"/>
        <v>837.84</v>
      </c>
      <c r="W14" s="47">
        <f>W19+W24+W29</f>
        <v>75.56</v>
      </c>
      <c r="X14" s="35">
        <f t="shared" ref="X14:X29" si="10">W14/V14*100</f>
        <v>9.0184283395397689</v>
      </c>
      <c r="Y14" s="37">
        <f t="shared" si="0"/>
        <v>789.44</v>
      </c>
      <c r="Z14" s="36">
        <f>Z19+Z24+Z29</f>
        <v>0</v>
      </c>
      <c r="AA14" s="35">
        <f t="shared" ref="AA14:AA29" si="11">Z14/Y14*100</f>
        <v>0</v>
      </c>
      <c r="AB14" s="37">
        <f t="shared" si="0"/>
        <v>848.94</v>
      </c>
      <c r="AC14" s="36">
        <f>AC19+AC24+AC29</f>
        <v>0</v>
      </c>
      <c r="AD14" s="35">
        <f t="shared" ref="AD14:AD29" si="12">AC14/AB14*100</f>
        <v>0</v>
      </c>
      <c r="AE14" s="37">
        <f t="shared" si="0"/>
        <v>923.74</v>
      </c>
      <c r="AF14" s="36">
        <f>AF19+AF24+AF29</f>
        <v>0</v>
      </c>
      <c r="AG14" s="35">
        <f t="shared" ref="AG14:AG29" si="13">AF14/AE14*100</f>
        <v>0</v>
      </c>
      <c r="AH14" s="37">
        <f t="shared" si="0"/>
        <v>836.24</v>
      </c>
      <c r="AI14" s="36">
        <f>AI19+AI24+AI29</f>
        <v>0</v>
      </c>
      <c r="AJ14" s="35">
        <f t="shared" ref="AJ14:AJ27" si="14">AI14/AH14*100</f>
        <v>0</v>
      </c>
      <c r="AK14" s="37">
        <f t="shared" si="0"/>
        <v>820.43</v>
      </c>
      <c r="AL14" s="36">
        <v>0</v>
      </c>
      <c r="AM14" s="35">
        <f t="shared" ref="AM14:AM29" si="15">AL14/AK14*100</f>
        <v>0</v>
      </c>
      <c r="AN14" s="90">
        <f t="shared" si="0"/>
        <v>789.43</v>
      </c>
      <c r="AO14" s="36">
        <v>0</v>
      </c>
      <c r="AP14" s="91">
        <v>0</v>
      </c>
      <c r="AQ14" s="23"/>
      <c r="AR14" s="10"/>
      <c r="AS14" s="62" t="s">
        <v>39</v>
      </c>
      <c r="AT14" s="79">
        <f>AT19+AT24+AT29</f>
        <v>9266.84</v>
      </c>
      <c r="AU14" s="80">
        <f t="shared" si="3"/>
        <v>0</v>
      </c>
      <c r="AV14" s="81">
        <f>AV19+AV24+AV29</f>
        <v>354.57</v>
      </c>
      <c r="AW14" s="61">
        <f>AV14-E14</f>
        <v>0</v>
      </c>
      <c r="AX14" s="151"/>
      <c r="AY14" s="21" t="s">
        <v>23</v>
      </c>
    </row>
    <row r="15" spans="1:51" ht="26.25" customHeight="1" x14ac:dyDescent="0.25">
      <c r="A15" s="172"/>
      <c r="B15" s="151"/>
      <c r="C15" s="21" t="s">
        <v>24</v>
      </c>
      <c r="D15" s="51">
        <f>G15+J15+M15+P15+S15+V15+Y15+AB15+AE15+AH15+AK15+AN15</f>
        <v>5450.2800000000007</v>
      </c>
      <c r="E15" s="51">
        <f t="shared" si="1"/>
        <v>0</v>
      </c>
      <c r="F15" s="33">
        <v>0</v>
      </c>
      <c r="G15" s="34">
        <f t="shared" ref="G15" si="16">G20+G25+G30</f>
        <v>0</v>
      </c>
      <c r="H15" s="35">
        <f>H20+H25+H30</f>
        <v>0</v>
      </c>
      <c r="I15" s="35">
        <v>0</v>
      </c>
      <c r="J15" s="34">
        <f t="shared" ref="J15" si="17">J20+J25+J30</f>
        <v>0</v>
      </c>
      <c r="K15" s="35">
        <v>0</v>
      </c>
      <c r="L15" s="35">
        <v>0</v>
      </c>
      <c r="M15" s="34">
        <f>M20+M25+M30</f>
        <v>0</v>
      </c>
      <c r="N15" s="36">
        <f>N20+N25+N30</f>
        <v>0</v>
      </c>
      <c r="O15" s="35">
        <v>0</v>
      </c>
      <c r="P15" s="34">
        <f t="shared" si="0"/>
        <v>605.58000000000004</v>
      </c>
      <c r="Q15" s="36">
        <f>Q20+Q24+Q30</f>
        <v>0</v>
      </c>
      <c r="R15" s="36">
        <v>0</v>
      </c>
      <c r="S15" s="34">
        <f t="shared" si="0"/>
        <v>605.59</v>
      </c>
      <c r="T15" s="36">
        <v>0</v>
      </c>
      <c r="U15" s="35">
        <v>0</v>
      </c>
      <c r="V15" s="34">
        <f t="shared" si="0"/>
        <v>605.59</v>
      </c>
      <c r="W15" s="47">
        <v>0</v>
      </c>
      <c r="X15" s="35">
        <v>0</v>
      </c>
      <c r="Y15" s="34">
        <f>Y20</f>
        <v>605.59</v>
      </c>
      <c r="Z15" s="36">
        <v>0</v>
      </c>
      <c r="AA15" s="35">
        <v>0</v>
      </c>
      <c r="AB15" s="34">
        <f>AB20</f>
        <v>605.59</v>
      </c>
      <c r="AC15" s="36">
        <v>0</v>
      </c>
      <c r="AD15" s="35">
        <v>0</v>
      </c>
      <c r="AE15" s="34">
        <f t="shared" si="0"/>
        <v>605.59</v>
      </c>
      <c r="AF15" s="36">
        <v>0</v>
      </c>
      <c r="AG15" s="35">
        <v>0</v>
      </c>
      <c r="AH15" s="34">
        <f t="shared" si="0"/>
        <v>605.59</v>
      </c>
      <c r="AI15" s="36">
        <v>0</v>
      </c>
      <c r="AJ15" s="35">
        <v>0</v>
      </c>
      <c r="AK15" s="34">
        <f t="shared" si="0"/>
        <v>605.59</v>
      </c>
      <c r="AL15" s="36">
        <v>0</v>
      </c>
      <c r="AM15" s="35">
        <v>0</v>
      </c>
      <c r="AN15" s="92">
        <f t="shared" si="0"/>
        <v>605.57000000000005</v>
      </c>
      <c r="AO15" s="36">
        <v>0</v>
      </c>
      <c r="AP15" s="91">
        <v>0</v>
      </c>
      <c r="AQ15" s="23"/>
      <c r="AR15" s="10"/>
      <c r="AS15" s="62" t="s">
        <v>40</v>
      </c>
      <c r="AT15" s="79">
        <f>AT20+AT25+AT30</f>
        <v>5450.28</v>
      </c>
      <c r="AU15" s="80">
        <f t="shared" si="3"/>
        <v>0</v>
      </c>
      <c r="AV15" s="81">
        <f>AV20+AV25+AV30</f>
        <v>0</v>
      </c>
      <c r="AW15" s="61">
        <f t="shared" si="4"/>
        <v>0</v>
      </c>
      <c r="AX15" s="151"/>
      <c r="AY15" s="21" t="s">
        <v>24</v>
      </c>
    </row>
    <row r="16" spans="1:51" ht="26.25" customHeight="1" x14ac:dyDescent="0.25">
      <c r="A16" s="173"/>
      <c r="B16" s="152"/>
      <c r="C16" s="18" t="s">
        <v>25</v>
      </c>
      <c r="D16" s="51">
        <f t="shared" si="5"/>
        <v>0</v>
      </c>
      <c r="E16" s="51">
        <f t="shared" si="1"/>
        <v>0</v>
      </c>
      <c r="F16" s="33">
        <v>0</v>
      </c>
      <c r="G16" s="38">
        <v>0</v>
      </c>
      <c r="H16" s="33">
        <f>H21+H26+H31</f>
        <v>0</v>
      </c>
      <c r="I16" s="35">
        <v>0</v>
      </c>
      <c r="J16" s="38">
        <v>0</v>
      </c>
      <c r="K16" s="35">
        <v>0</v>
      </c>
      <c r="L16" s="35">
        <v>0</v>
      </c>
      <c r="M16" s="38">
        <v>0</v>
      </c>
      <c r="N16" s="39">
        <f>N21+N26+N31</f>
        <v>0</v>
      </c>
      <c r="O16" s="35">
        <v>0</v>
      </c>
      <c r="P16" s="38">
        <v>0</v>
      </c>
      <c r="Q16" s="39">
        <v>0</v>
      </c>
      <c r="R16" s="36">
        <v>0</v>
      </c>
      <c r="S16" s="38">
        <v>0</v>
      </c>
      <c r="T16" s="39">
        <v>0</v>
      </c>
      <c r="U16" s="35">
        <v>0</v>
      </c>
      <c r="V16" s="38">
        <v>0</v>
      </c>
      <c r="W16" s="48">
        <v>0</v>
      </c>
      <c r="X16" s="35">
        <v>0</v>
      </c>
      <c r="Y16" s="38">
        <v>0</v>
      </c>
      <c r="Z16" s="39">
        <v>0</v>
      </c>
      <c r="AA16" s="35">
        <v>0</v>
      </c>
      <c r="AB16" s="38">
        <v>0</v>
      </c>
      <c r="AC16" s="39">
        <v>0</v>
      </c>
      <c r="AD16" s="35">
        <v>0</v>
      </c>
      <c r="AE16" s="38">
        <v>0</v>
      </c>
      <c r="AF16" s="33">
        <v>0</v>
      </c>
      <c r="AG16" s="35">
        <v>0</v>
      </c>
      <c r="AH16" s="38">
        <v>0</v>
      </c>
      <c r="AI16" s="39">
        <v>0</v>
      </c>
      <c r="AJ16" s="35">
        <v>0</v>
      </c>
      <c r="AK16" s="38">
        <v>0</v>
      </c>
      <c r="AL16" s="39">
        <v>0</v>
      </c>
      <c r="AM16" s="35">
        <v>0</v>
      </c>
      <c r="AN16" s="93">
        <v>0</v>
      </c>
      <c r="AO16" s="39">
        <v>0</v>
      </c>
      <c r="AP16" s="39">
        <v>0</v>
      </c>
      <c r="AQ16" s="23"/>
      <c r="AR16" s="10"/>
      <c r="AS16" s="57" t="s">
        <v>41</v>
      </c>
      <c r="AT16" s="79">
        <f>AT21+AT26+AT31</f>
        <v>0</v>
      </c>
      <c r="AU16" s="80">
        <f t="shared" si="3"/>
        <v>0</v>
      </c>
      <c r="AV16" s="81">
        <f>AV21+AV26+AV31</f>
        <v>0</v>
      </c>
      <c r="AW16" s="61">
        <f t="shared" si="4"/>
        <v>0</v>
      </c>
      <c r="AX16" s="152"/>
      <c r="AY16" s="18" t="s">
        <v>25</v>
      </c>
    </row>
    <row r="17" spans="1:51" ht="39" customHeight="1" x14ac:dyDescent="0.25">
      <c r="A17" s="167" t="s">
        <v>26</v>
      </c>
      <c r="B17" s="153" t="s">
        <v>27</v>
      </c>
      <c r="C17" s="18" t="s">
        <v>21</v>
      </c>
      <c r="D17" s="49">
        <f>G17+J17+M17+P17+S17+V17+Y17+AB17+AE17+AH17+AK17+AN17</f>
        <v>21135.180000000004</v>
      </c>
      <c r="E17" s="49">
        <f t="shared" si="1"/>
        <v>839.93000000000006</v>
      </c>
      <c r="F17" s="40">
        <f t="shared" ref="F17:O17" si="18">F18+F19+F20</f>
        <v>11.388633219158262</v>
      </c>
      <c r="G17" s="40">
        <f t="shared" si="18"/>
        <v>0</v>
      </c>
      <c r="H17" s="40">
        <f t="shared" si="18"/>
        <v>0</v>
      </c>
      <c r="I17" s="40" t="e">
        <f t="shared" si="18"/>
        <v>#DIV/0!</v>
      </c>
      <c r="J17" s="40">
        <f t="shared" si="18"/>
        <v>126.7</v>
      </c>
      <c r="K17" s="40">
        <f t="shared" si="18"/>
        <v>2.83</v>
      </c>
      <c r="L17" s="40" t="e">
        <f t="shared" si="18"/>
        <v>#DIV/0!</v>
      </c>
      <c r="M17" s="40">
        <f t="shared" si="18"/>
        <v>175.2</v>
      </c>
      <c r="N17" s="40">
        <f t="shared" si="18"/>
        <v>48.19</v>
      </c>
      <c r="O17" s="40">
        <f t="shared" si="18"/>
        <v>39.21074043938161</v>
      </c>
      <c r="P17" s="40">
        <f>P18+P19+P20+P21</f>
        <v>1506.6200000000001</v>
      </c>
      <c r="Q17" s="40">
        <f>Q18+Q19+Q20+Q21</f>
        <v>18.63</v>
      </c>
      <c r="R17" s="41">
        <f t="shared" si="8"/>
        <v>1.236542724774661</v>
      </c>
      <c r="S17" s="40">
        <f>S18+S20+S19</f>
        <v>4912.380000000001</v>
      </c>
      <c r="T17" s="40">
        <f>T18+T19+T20</f>
        <v>354.25</v>
      </c>
      <c r="U17" s="41">
        <f t="shared" si="9"/>
        <v>7.2113720844071496</v>
      </c>
      <c r="V17" s="40">
        <f>V18+V19+V20</f>
        <v>3309.67</v>
      </c>
      <c r="W17" s="49">
        <f>W18+W19+W21+W20</f>
        <v>416.03000000000003</v>
      </c>
      <c r="X17" s="41">
        <f t="shared" si="10"/>
        <v>12.570135391141715</v>
      </c>
      <c r="Y17" s="40">
        <f>Y18+Y19+Y20</f>
        <v>3197.4700000000003</v>
      </c>
      <c r="Z17" s="40">
        <f>Z18+Z19</f>
        <v>0</v>
      </c>
      <c r="AA17" s="41">
        <f t="shared" si="11"/>
        <v>0</v>
      </c>
      <c r="AB17" s="40">
        <f>AB18+AB19+AB20</f>
        <v>1964.4700000000003</v>
      </c>
      <c r="AC17" s="40">
        <f>AC18+AC19</f>
        <v>0</v>
      </c>
      <c r="AD17" s="41">
        <f t="shared" si="12"/>
        <v>0</v>
      </c>
      <c r="AE17" s="40">
        <f>AE18+AE19+AE20</f>
        <v>1647.27</v>
      </c>
      <c r="AF17" s="40">
        <f>AF18+AF19</f>
        <v>0</v>
      </c>
      <c r="AG17" s="41">
        <f t="shared" si="13"/>
        <v>0</v>
      </c>
      <c r="AH17" s="40">
        <f>AH18+AH19+AH20</f>
        <v>1456.38</v>
      </c>
      <c r="AI17" s="40">
        <f>AI18+AI19</f>
        <v>0</v>
      </c>
      <c r="AJ17" s="41">
        <f t="shared" si="14"/>
        <v>0</v>
      </c>
      <c r="AK17" s="40">
        <f>AK18+AK19+AK20</f>
        <v>1437.77</v>
      </c>
      <c r="AL17" s="40">
        <f>AL18+AL19</f>
        <v>0</v>
      </c>
      <c r="AM17" s="41">
        <f t="shared" si="15"/>
        <v>0</v>
      </c>
      <c r="AN17" s="40">
        <f>AN18+AN19+AN20</f>
        <v>1401.25</v>
      </c>
      <c r="AO17" s="40">
        <v>0</v>
      </c>
      <c r="AP17" s="40">
        <v>0</v>
      </c>
      <c r="AQ17" s="19"/>
      <c r="AR17" s="82"/>
      <c r="AS17" s="83" t="s">
        <v>37</v>
      </c>
      <c r="AT17" s="84">
        <f>AT18+AT19+AT20</f>
        <v>21135.18</v>
      </c>
      <c r="AU17" s="85">
        <f t="shared" si="3"/>
        <v>0</v>
      </c>
      <c r="AV17" s="86">
        <f>AV18+AV19+AV20+AV21</f>
        <v>839.93000000000006</v>
      </c>
      <c r="AW17" s="87">
        <f t="shared" si="4"/>
        <v>0</v>
      </c>
      <c r="AX17" s="153" t="s">
        <v>27</v>
      </c>
      <c r="AY17" s="18" t="s">
        <v>21</v>
      </c>
    </row>
    <row r="18" spans="1:51" ht="26.25" customHeight="1" x14ac:dyDescent="0.25">
      <c r="A18" s="168"/>
      <c r="B18" s="154"/>
      <c r="C18" s="21" t="s">
        <v>22</v>
      </c>
      <c r="D18" s="51">
        <f>G18+J18+M18+P18+S18+V18+Y18+AB18+AE18+AH18+AK18+AN18</f>
        <v>6418.06</v>
      </c>
      <c r="E18" s="51">
        <f t="shared" si="1"/>
        <v>485.36</v>
      </c>
      <c r="F18" s="33">
        <f t="shared" si="2"/>
        <v>7.5624098247757106</v>
      </c>
      <c r="G18" s="38">
        <v>0</v>
      </c>
      <c r="H18" s="33">
        <v>0</v>
      </c>
      <c r="I18" s="35" t="e">
        <f t="shared" ref="I18:I29" si="19">H18/G18*100</f>
        <v>#DIV/0!</v>
      </c>
      <c r="J18" s="38">
        <f>123.7+3</f>
        <v>126.7</v>
      </c>
      <c r="K18" s="35">
        <v>2.83</v>
      </c>
      <c r="L18" s="35">
        <f t="shared" si="6"/>
        <v>2.2336227308603003</v>
      </c>
      <c r="M18" s="38">
        <v>122.9</v>
      </c>
      <c r="N18" s="33">
        <v>48.19</v>
      </c>
      <c r="O18" s="35">
        <f t="shared" si="7"/>
        <v>39.21074043938161</v>
      </c>
      <c r="P18" s="38">
        <v>19.2</v>
      </c>
      <c r="Q18" s="33">
        <v>18.63</v>
      </c>
      <c r="R18" s="36">
        <f t="shared" si="8"/>
        <v>97.03125</v>
      </c>
      <c r="S18" s="38">
        <f>1813.9+6.25</f>
        <v>1820.15</v>
      </c>
      <c r="T18" s="33">
        <v>75.239999999999995</v>
      </c>
      <c r="U18" s="35">
        <f t="shared" si="9"/>
        <v>4.1337252424250748</v>
      </c>
      <c r="V18" s="38">
        <f>1890.8+6.25-30.81</f>
        <v>1866.24</v>
      </c>
      <c r="W18" s="134">
        <v>340.47</v>
      </c>
      <c r="X18" s="35">
        <f t="shared" si="10"/>
        <v>18.243634259259263</v>
      </c>
      <c r="Y18" s="38">
        <f>1822+6.25-30.81+5</f>
        <v>1802.44</v>
      </c>
      <c r="Z18" s="39">
        <v>0</v>
      </c>
      <c r="AA18" s="35">
        <f>Z18/Y18*100</f>
        <v>0</v>
      </c>
      <c r="AB18" s="38">
        <f>534.5+6.25-30.81</f>
        <v>509.94</v>
      </c>
      <c r="AC18" s="39">
        <v>0</v>
      </c>
      <c r="AD18" s="35">
        <f t="shared" si="12"/>
        <v>0</v>
      </c>
      <c r="AE18" s="38">
        <f>142.5+6.25-30.81</f>
        <v>117.94</v>
      </c>
      <c r="AF18" s="39">
        <v>0</v>
      </c>
      <c r="AG18" s="35">
        <v>0</v>
      </c>
      <c r="AH18" s="38">
        <f>8.3+6.25</f>
        <v>14.55</v>
      </c>
      <c r="AI18" s="39">
        <v>0</v>
      </c>
      <c r="AJ18" s="35">
        <v>0</v>
      </c>
      <c r="AK18" s="38">
        <f>5.5+6.25</f>
        <v>11.75</v>
      </c>
      <c r="AL18" s="39">
        <v>0</v>
      </c>
      <c r="AM18" s="35">
        <f t="shared" si="15"/>
        <v>0</v>
      </c>
      <c r="AN18" s="93">
        <v>6.25</v>
      </c>
      <c r="AO18" s="39">
        <v>0</v>
      </c>
      <c r="AP18" s="89">
        <v>0</v>
      </c>
      <c r="AQ18" s="22"/>
      <c r="AR18" s="10"/>
      <c r="AS18" s="62" t="s">
        <v>38</v>
      </c>
      <c r="AT18" s="66">
        <v>6418.06</v>
      </c>
      <c r="AU18" s="59">
        <f>AT18-D18</f>
        <v>0</v>
      </c>
      <c r="AV18" s="68">
        <v>485.36</v>
      </c>
      <c r="AW18" s="61">
        <f t="shared" si="4"/>
        <v>0</v>
      </c>
      <c r="AX18" s="154"/>
      <c r="AY18" s="21" t="s">
        <v>22</v>
      </c>
    </row>
    <row r="19" spans="1:51" ht="26.25" customHeight="1" x14ac:dyDescent="0.25">
      <c r="A19" s="168"/>
      <c r="B19" s="154"/>
      <c r="C19" s="18" t="s">
        <v>23</v>
      </c>
      <c r="D19" s="51">
        <f>G19+J19+M19+P19+S19+V19+Y19+AB19+AE19+AH19+AK19+AN19</f>
        <v>9266.84</v>
      </c>
      <c r="E19" s="51">
        <f t="shared" si="1"/>
        <v>354.57</v>
      </c>
      <c r="F19" s="33">
        <f t="shared" si="2"/>
        <v>3.8262233943825512</v>
      </c>
      <c r="G19" s="38">
        <v>0</v>
      </c>
      <c r="H19" s="33">
        <v>0</v>
      </c>
      <c r="I19" s="35" t="e">
        <f t="shared" si="19"/>
        <v>#DIV/0!</v>
      </c>
      <c r="J19" s="38">
        <v>0</v>
      </c>
      <c r="K19" s="35">
        <v>0</v>
      </c>
      <c r="L19" s="35" t="e">
        <f>K19/J19*100</f>
        <v>#DIV/0!</v>
      </c>
      <c r="M19" s="38">
        <v>52.3</v>
      </c>
      <c r="N19" s="39">
        <v>0</v>
      </c>
      <c r="O19" s="35">
        <f t="shared" si="7"/>
        <v>0</v>
      </c>
      <c r="P19" s="38">
        <f>117.4+764.44</f>
        <v>881.84</v>
      </c>
      <c r="Q19" s="39">
        <v>0</v>
      </c>
      <c r="R19" s="36">
        <f t="shared" si="8"/>
        <v>0</v>
      </c>
      <c r="S19" s="38">
        <f>1697.2+764.44+25</f>
        <v>2486.6400000000003</v>
      </c>
      <c r="T19" s="33">
        <v>279.01</v>
      </c>
      <c r="U19" s="35">
        <f t="shared" si="9"/>
        <v>11.220361612456967</v>
      </c>
      <c r="V19" s="38">
        <f>48.4+764.44+25</f>
        <v>837.84</v>
      </c>
      <c r="W19" s="134">
        <v>75.56</v>
      </c>
      <c r="X19" s="35">
        <f t="shared" si="10"/>
        <v>9.0184283395397689</v>
      </c>
      <c r="Y19" s="38">
        <f>764.44+25</f>
        <v>789.44</v>
      </c>
      <c r="Z19" s="39">
        <v>0</v>
      </c>
      <c r="AA19" s="35">
        <f t="shared" si="11"/>
        <v>0</v>
      </c>
      <c r="AB19" s="38">
        <f>59.5+764.44+25</f>
        <v>848.94</v>
      </c>
      <c r="AC19" s="39">
        <v>0</v>
      </c>
      <c r="AD19" s="35">
        <f t="shared" si="12"/>
        <v>0</v>
      </c>
      <c r="AE19" s="38">
        <f>134.3+764.44+25</f>
        <v>923.74</v>
      </c>
      <c r="AF19" s="39">
        <v>0</v>
      </c>
      <c r="AG19" s="35">
        <f t="shared" si="13"/>
        <v>0</v>
      </c>
      <c r="AH19" s="38">
        <f>46.8+764.44+25</f>
        <v>836.24</v>
      </c>
      <c r="AI19" s="39">
        <v>0</v>
      </c>
      <c r="AJ19" s="35">
        <v>0</v>
      </c>
      <c r="AK19" s="38">
        <f>31+764.43+25</f>
        <v>820.43</v>
      </c>
      <c r="AL19" s="39">
        <v>0</v>
      </c>
      <c r="AM19" s="35">
        <v>0</v>
      </c>
      <c r="AN19" s="93">
        <f>764.43+25</f>
        <v>789.43</v>
      </c>
      <c r="AO19" s="39">
        <v>0</v>
      </c>
      <c r="AP19" s="89">
        <v>0</v>
      </c>
      <c r="AQ19" s="23"/>
      <c r="AR19" s="10"/>
      <c r="AS19" s="62" t="s">
        <v>39</v>
      </c>
      <c r="AT19" s="66">
        <v>9266.84</v>
      </c>
      <c r="AU19" s="59">
        <f t="shared" si="3"/>
        <v>0</v>
      </c>
      <c r="AV19" s="68">
        <v>354.57</v>
      </c>
      <c r="AW19" s="61">
        <f t="shared" si="4"/>
        <v>0</v>
      </c>
      <c r="AX19" s="154"/>
      <c r="AY19" s="18" t="s">
        <v>23</v>
      </c>
    </row>
    <row r="20" spans="1:51" ht="26.25" customHeight="1" x14ac:dyDescent="0.25">
      <c r="A20" s="168"/>
      <c r="B20" s="154"/>
      <c r="C20" s="21" t="s">
        <v>24</v>
      </c>
      <c r="D20" s="51">
        <f t="shared" si="5"/>
        <v>5450.2800000000007</v>
      </c>
      <c r="E20" s="51">
        <f t="shared" si="1"/>
        <v>0</v>
      </c>
      <c r="F20" s="33">
        <v>0</v>
      </c>
      <c r="G20" s="38">
        <v>0</v>
      </c>
      <c r="H20" s="33">
        <v>0</v>
      </c>
      <c r="I20" s="35">
        <v>0</v>
      </c>
      <c r="J20" s="38">
        <v>0</v>
      </c>
      <c r="K20" s="35">
        <v>0</v>
      </c>
      <c r="L20" s="35">
        <v>0</v>
      </c>
      <c r="M20" s="38">
        <v>0</v>
      </c>
      <c r="N20" s="39">
        <v>0</v>
      </c>
      <c r="O20" s="35">
        <v>0</v>
      </c>
      <c r="P20" s="38">
        <v>605.58000000000004</v>
      </c>
      <c r="Q20" s="39">
        <v>0</v>
      </c>
      <c r="R20" s="36">
        <v>0</v>
      </c>
      <c r="S20" s="38">
        <v>605.59</v>
      </c>
      <c r="T20" s="39">
        <v>0</v>
      </c>
      <c r="U20" s="35">
        <v>0</v>
      </c>
      <c r="V20" s="38">
        <v>605.59</v>
      </c>
      <c r="W20" s="48">
        <v>0</v>
      </c>
      <c r="X20" s="35">
        <v>0</v>
      </c>
      <c r="Y20" s="38">
        <v>605.59</v>
      </c>
      <c r="Z20" s="39">
        <v>0</v>
      </c>
      <c r="AA20" s="35">
        <v>0</v>
      </c>
      <c r="AB20" s="38">
        <v>605.59</v>
      </c>
      <c r="AC20" s="39">
        <v>0</v>
      </c>
      <c r="AD20" s="35">
        <v>0</v>
      </c>
      <c r="AE20" s="38">
        <v>605.59</v>
      </c>
      <c r="AF20" s="39">
        <v>0</v>
      </c>
      <c r="AG20" s="35">
        <v>0</v>
      </c>
      <c r="AH20" s="38">
        <v>605.59</v>
      </c>
      <c r="AI20" s="39">
        <v>0</v>
      </c>
      <c r="AJ20" s="35">
        <v>0</v>
      </c>
      <c r="AK20" s="38">
        <v>605.59</v>
      </c>
      <c r="AL20" s="39">
        <v>0</v>
      </c>
      <c r="AM20" s="35">
        <v>0</v>
      </c>
      <c r="AN20" s="93">
        <v>605.57000000000005</v>
      </c>
      <c r="AO20" s="39">
        <v>0</v>
      </c>
      <c r="AP20" s="89">
        <v>0</v>
      </c>
      <c r="AQ20" s="23"/>
      <c r="AR20" s="10"/>
      <c r="AS20" s="62" t="s">
        <v>40</v>
      </c>
      <c r="AT20" s="66">
        <v>5450.28</v>
      </c>
      <c r="AU20" s="59">
        <f t="shared" si="3"/>
        <v>0</v>
      </c>
      <c r="AV20" s="68">
        <v>0</v>
      </c>
      <c r="AW20" s="61">
        <f t="shared" si="4"/>
        <v>0</v>
      </c>
      <c r="AX20" s="154"/>
      <c r="AY20" s="21" t="s">
        <v>24</v>
      </c>
    </row>
    <row r="21" spans="1:51" ht="26.25" customHeight="1" x14ac:dyDescent="0.25">
      <c r="A21" s="169"/>
      <c r="B21" s="155"/>
      <c r="C21" s="18" t="s">
        <v>25</v>
      </c>
      <c r="D21" s="51">
        <f t="shared" si="5"/>
        <v>0</v>
      </c>
      <c r="E21" s="51">
        <f t="shared" si="1"/>
        <v>0</v>
      </c>
      <c r="F21" s="33">
        <v>0</v>
      </c>
      <c r="G21" s="38">
        <v>0</v>
      </c>
      <c r="H21" s="33">
        <v>0</v>
      </c>
      <c r="I21" s="35">
        <v>0</v>
      </c>
      <c r="J21" s="38">
        <v>0</v>
      </c>
      <c r="K21" s="35">
        <v>0</v>
      </c>
      <c r="L21" s="35">
        <v>0</v>
      </c>
      <c r="M21" s="38">
        <v>0</v>
      </c>
      <c r="N21" s="39">
        <v>0</v>
      </c>
      <c r="O21" s="35">
        <v>0</v>
      </c>
      <c r="P21" s="38">
        <v>0</v>
      </c>
      <c r="Q21" s="39">
        <v>0</v>
      </c>
      <c r="R21" s="36">
        <v>0</v>
      </c>
      <c r="S21" s="38">
        <v>0</v>
      </c>
      <c r="T21" s="39">
        <v>0</v>
      </c>
      <c r="U21" s="35">
        <v>0</v>
      </c>
      <c r="V21" s="38">
        <v>0</v>
      </c>
      <c r="W21" s="48">
        <v>0</v>
      </c>
      <c r="X21" s="35">
        <v>0</v>
      </c>
      <c r="Y21" s="38">
        <v>0</v>
      </c>
      <c r="Z21" s="39">
        <v>0</v>
      </c>
      <c r="AA21" s="35">
        <v>0</v>
      </c>
      <c r="AB21" s="38">
        <v>0</v>
      </c>
      <c r="AC21" s="39">
        <v>0</v>
      </c>
      <c r="AD21" s="35">
        <v>0</v>
      </c>
      <c r="AE21" s="38">
        <v>0</v>
      </c>
      <c r="AF21" s="39">
        <v>0</v>
      </c>
      <c r="AG21" s="35">
        <v>0</v>
      </c>
      <c r="AH21" s="38">
        <v>0</v>
      </c>
      <c r="AI21" s="39">
        <v>0</v>
      </c>
      <c r="AJ21" s="35">
        <v>0</v>
      </c>
      <c r="AK21" s="38">
        <v>0</v>
      </c>
      <c r="AL21" s="39">
        <v>0</v>
      </c>
      <c r="AM21" s="35">
        <v>0</v>
      </c>
      <c r="AN21" s="93">
        <v>0</v>
      </c>
      <c r="AO21" s="39">
        <v>0</v>
      </c>
      <c r="AP21" s="39">
        <v>0</v>
      </c>
      <c r="AQ21" s="23"/>
      <c r="AR21" s="10"/>
      <c r="AS21" s="57" t="s">
        <v>41</v>
      </c>
      <c r="AT21" s="58">
        <v>0</v>
      </c>
      <c r="AU21" s="59">
        <f t="shared" si="3"/>
        <v>0</v>
      </c>
      <c r="AV21" s="60">
        <v>0</v>
      </c>
      <c r="AW21" s="61">
        <f t="shared" si="4"/>
        <v>0</v>
      </c>
      <c r="AX21" s="155"/>
      <c r="AY21" s="18" t="s">
        <v>25</v>
      </c>
    </row>
    <row r="22" spans="1:51" ht="37.5" customHeight="1" x14ac:dyDescent="0.25">
      <c r="A22" s="167" t="s">
        <v>30</v>
      </c>
      <c r="B22" s="153" t="s">
        <v>28</v>
      </c>
      <c r="C22" s="18" t="s">
        <v>21</v>
      </c>
      <c r="D22" s="49">
        <f>G22+J22+M22+P22+S22+V22+Y22+AB22+AE22+AH22+AK22+AN22</f>
        <v>7305</v>
      </c>
      <c r="E22" s="49">
        <f t="shared" si="1"/>
        <v>1955.65</v>
      </c>
      <c r="F22" s="40">
        <f t="shared" si="2"/>
        <v>26.77138945927447</v>
      </c>
      <c r="G22" s="40">
        <f>G23+G24</f>
        <v>0</v>
      </c>
      <c r="H22" s="40">
        <f>H23+H24+H25+H26</f>
        <v>0</v>
      </c>
      <c r="I22" s="41">
        <v>0</v>
      </c>
      <c r="J22" s="40">
        <f>J23+J24+J25</f>
        <v>150</v>
      </c>
      <c r="K22" s="41">
        <f>K23+K24+K25+K26</f>
        <v>40.53</v>
      </c>
      <c r="L22" s="41">
        <v>0</v>
      </c>
      <c r="M22" s="40">
        <f>M23+M24+M25</f>
        <v>895.4</v>
      </c>
      <c r="N22" s="40">
        <f>N23+N24+N25+N26</f>
        <v>631.88</v>
      </c>
      <c r="O22" s="41">
        <f t="shared" si="7"/>
        <v>70.569577842305122</v>
      </c>
      <c r="P22" s="40">
        <f>P23+P24+P25</f>
        <v>437</v>
      </c>
      <c r="Q22" s="40">
        <f>Q23+Q24+Q25+Q26</f>
        <v>241.48</v>
      </c>
      <c r="R22" s="41">
        <f t="shared" si="8"/>
        <v>55.258581235697932</v>
      </c>
      <c r="S22" s="40">
        <f>S23+S24+S25</f>
        <v>756.48</v>
      </c>
      <c r="T22" s="40">
        <f>T23</f>
        <v>718.2</v>
      </c>
      <c r="U22" s="41">
        <f t="shared" si="9"/>
        <v>94.939720812182742</v>
      </c>
      <c r="V22" s="40">
        <f>V23+V24+V25</f>
        <v>1472.8100000000002</v>
      </c>
      <c r="W22" s="49">
        <f>W23+W24+W25+W26</f>
        <v>323.56</v>
      </c>
      <c r="X22" s="41">
        <f t="shared" si="10"/>
        <v>21.968889401891619</v>
      </c>
      <c r="Y22" s="40">
        <f>Y23+Y24+Y25</f>
        <v>770.81</v>
      </c>
      <c r="Z22" s="40">
        <f>Z23</f>
        <v>0</v>
      </c>
      <c r="AA22" s="41">
        <f t="shared" si="11"/>
        <v>0</v>
      </c>
      <c r="AB22" s="40">
        <f>AB23+AB24+AB25</f>
        <v>701.31</v>
      </c>
      <c r="AC22" s="40">
        <f>AC23</f>
        <v>0</v>
      </c>
      <c r="AD22" s="41">
        <f t="shared" si="12"/>
        <v>0</v>
      </c>
      <c r="AE22" s="40">
        <f>AE23+AE24</f>
        <v>593.80999999999995</v>
      </c>
      <c r="AF22" s="40">
        <f>AF23+AF24</f>
        <v>0</v>
      </c>
      <c r="AG22" s="41">
        <f t="shared" si="13"/>
        <v>0</v>
      </c>
      <c r="AH22" s="40">
        <f>AH23+AH24</f>
        <v>375.81</v>
      </c>
      <c r="AI22" s="40">
        <f>AI23</f>
        <v>0</v>
      </c>
      <c r="AJ22" s="41">
        <f t="shared" si="14"/>
        <v>0</v>
      </c>
      <c r="AK22" s="40">
        <f>AK23+AK24</f>
        <v>475.81</v>
      </c>
      <c r="AL22" s="40">
        <f>AL23</f>
        <v>0</v>
      </c>
      <c r="AM22" s="41">
        <f t="shared" si="15"/>
        <v>0</v>
      </c>
      <c r="AN22" s="94">
        <f>AN23+AN24</f>
        <v>675.76</v>
      </c>
      <c r="AO22" s="40">
        <v>0</v>
      </c>
      <c r="AP22" s="40">
        <v>0</v>
      </c>
      <c r="AQ22" s="19"/>
      <c r="AR22" s="82"/>
      <c r="AS22" s="83" t="s">
        <v>37</v>
      </c>
      <c r="AT22" s="84">
        <f>AT23+AT24+AT25+AT26</f>
        <v>7305</v>
      </c>
      <c r="AU22" s="85">
        <f t="shared" si="3"/>
        <v>0</v>
      </c>
      <c r="AV22" s="86">
        <f>AV23+AV24+AV25+AV26</f>
        <v>1955.65</v>
      </c>
      <c r="AW22" s="87">
        <f t="shared" si="4"/>
        <v>0</v>
      </c>
      <c r="AX22" s="153" t="s">
        <v>28</v>
      </c>
      <c r="AY22" s="18" t="s">
        <v>21</v>
      </c>
    </row>
    <row r="23" spans="1:51" ht="26.25" customHeight="1" x14ac:dyDescent="0.25">
      <c r="A23" s="168"/>
      <c r="B23" s="154"/>
      <c r="C23" s="18" t="s">
        <v>22</v>
      </c>
      <c r="D23" s="51">
        <f>G23+J23+M23+P23+S23+V23+Y23+AB23+AE23+AH23+AK23+AN23</f>
        <v>7305</v>
      </c>
      <c r="E23" s="51">
        <f t="shared" si="1"/>
        <v>1955.65</v>
      </c>
      <c r="F23" s="33">
        <f t="shared" si="2"/>
        <v>26.77138945927447</v>
      </c>
      <c r="G23" s="38">
        <v>0</v>
      </c>
      <c r="H23" s="33">
        <v>0</v>
      </c>
      <c r="I23" s="35"/>
      <c r="J23" s="38">
        <v>150</v>
      </c>
      <c r="K23" s="35">
        <v>40.53</v>
      </c>
      <c r="L23" s="35">
        <v>0</v>
      </c>
      <c r="M23" s="38">
        <v>895.4</v>
      </c>
      <c r="N23" s="33">
        <v>631.88</v>
      </c>
      <c r="O23" s="35">
        <v>0</v>
      </c>
      <c r="P23" s="38">
        <v>437</v>
      </c>
      <c r="Q23" s="33">
        <v>241.48</v>
      </c>
      <c r="R23" s="36">
        <f t="shared" si="8"/>
        <v>55.258581235697932</v>
      </c>
      <c r="S23" s="38">
        <f>702.1+54.38</f>
        <v>756.48</v>
      </c>
      <c r="T23" s="33">
        <v>718.2</v>
      </c>
      <c r="U23" s="35">
        <f t="shared" si="9"/>
        <v>94.939720812182742</v>
      </c>
      <c r="V23" s="38">
        <f>1197+54.38+221.43</f>
        <v>1472.8100000000002</v>
      </c>
      <c r="W23" s="134">
        <v>323.56</v>
      </c>
      <c r="X23" s="35">
        <f t="shared" si="10"/>
        <v>21.968889401891619</v>
      </c>
      <c r="Y23" s="38">
        <f>400+54.38+221.43+95</f>
        <v>770.81</v>
      </c>
      <c r="Z23" s="39">
        <v>0</v>
      </c>
      <c r="AA23" s="35">
        <v>0</v>
      </c>
      <c r="AB23" s="38">
        <f>425.5+54.38+221.43</f>
        <v>701.31</v>
      </c>
      <c r="AC23" s="39">
        <v>0</v>
      </c>
      <c r="AD23" s="35">
        <f t="shared" si="12"/>
        <v>0</v>
      </c>
      <c r="AE23" s="38">
        <f>318+54.38+221.43</f>
        <v>593.80999999999995</v>
      </c>
      <c r="AF23" s="39">
        <v>0</v>
      </c>
      <c r="AG23" s="35">
        <f t="shared" si="13"/>
        <v>0</v>
      </c>
      <c r="AH23" s="38">
        <f>100+54.38+221.43</f>
        <v>375.81</v>
      </c>
      <c r="AI23" s="39">
        <v>0</v>
      </c>
      <c r="AJ23" s="35">
        <f t="shared" si="14"/>
        <v>0</v>
      </c>
      <c r="AK23" s="38">
        <f>200+54.38+221.43</f>
        <v>475.81</v>
      </c>
      <c r="AL23" s="39">
        <v>0</v>
      </c>
      <c r="AM23" s="35">
        <f t="shared" si="15"/>
        <v>0</v>
      </c>
      <c r="AN23" s="93">
        <f>400+54.34+221.42</f>
        <v>675.76</v>
      </c>
      <c r="AO23" s="39">
        <v>0</v>
      </c>
      <c r="AP23" s="89">
        <v>0</v>
      </c>
      <c r="AQ23" s="22"/>
      <c r="AR23" s="10"/>
      <c r="AS23" s="62" t="s">
        <v>38</v>
      </c>
      <c r="AT23" s="66">
        <v>7305</v>
      </c>
      <c r="AU23" s="59">
        <f t="shared" si="3"/>
        <v>0</v>
      </c>
      <c r="AV23" s="68">
        <v>1955.65</v>
      </c>
      <c r="AW23" s="61">
        <f t="shared" si="4"/>
        <v>0</v>
      </c>
      <c r="AX23" s="154"/>
      <c r="AY23" s="18" t="s">
        <v>22</v>
      </c>
    </row>
    <row r="24" spans="1:51" ht="26.25" customHeight="1" x14ac:dyDescent="0.25">
      <c r="A24" s="168"/>
      <c r="B24" s="154"/>
      <c r="C24" s="21" t="s">
        <v>23</v>
      </c>
      <c r="D24" s="51">
        <f>G24+J24+M24+P24+S24+V24+Y24+AB24+AE24+AH24+AK24+AN24</f>
        <v>0</v>
      </c>
      <c r="E24" s="51">
        <f t="shared" si="1"/>
        <v>0</v>
      </c>
      <c r="F24" s="33">
        <v>0</v>
      </c>
      <c r="G24" s="38">
        <v>0</v>
      </c>
      <c r="H24" s="33">
        <v>0</v>
      </c>
      <c r="I24" s="35">
        <v>0</v>
      </c>
      <c r="J24" s="38">
        <v>0</v>
      </c>
      <c r="K24" s="35">
        <v>0</v>
      </c>
      <c r="L24" s="35">
        <v>0</v>
      </c>
      <c r="M24" s="38">
        <v>0</v>
      </c>
      <c r="N24" s="39">
        <v>0</v>
      </c>
      <c r="O24" s="35">
        <v>0</v>
      </c>
      <c r="P24" s="38">
        <v>0</v>
      </c>
      <c r="Q24" s="39">
        <v>0</v>
      </c>
      <c r="R24" s="36">
        <v>0</v>
      </c>
      <c r="S24" s="38">
        <v>0</v>
      </c>
      <c r="T24" s="39">
        <v>0</v>
      </c>
      <c r="U24" s="35">
        <v>0</v>
      </c>
      <c r="V24" s="38">
        <v>0</v>
      </c>
      <c r="W24" s="48">
        <v>0</v>
      </c>
      <c r="X24" s="35">
        <v>0</v>
      </c>
      <c r="Y24" s="38">
        <v>0</v>
      </c>
      <c r="Z24" s="39">
        <v>0</v>
      </c>
      <c r="AA24" s="35">
        <v>0</v>
      </c>
      <c r="AB24" s="38">
        <v>0</v>
      </c>
      <c r="AC24" s="39">
        <v>0</v>
      </c>
      <c r="AD24" s="35">
        <v>0</v>
      </c>
      <c r="AE24" s="38">
        <v>0</v>
      </c>
      <c r="AF24" s="39">
        <v>0</v>
      </c>
      <c r="AG24" s="35">
        <v>0</v>
      </c>
      <c r="AH24" s="38">
        <v>0</v>
      </c>
      <c r="AI24" s="39">
        <v>0</v>
      </c>
      <c r="AJ24" s="35">
        <v>0</v>
      </c>
      <c r="AK24" s="38">
        <v>0</v>
      </c>
      <c r="AL24" s="39">
        <v>0</v>
      </c>
      <c r="AM24" s="35">
        <v>0</v>
      </c>
      <c r="AN24" s="93">
        <v>0</v>
      </c>
      <c r="AO24" s="39">
        <v>0</v>
      </c>
      <c r="AP24" s="89">
        <v>0</v>
      </c>
      <c r="AQ24" s="23"/>
      <c r="AR24" s="10"/>
      <c r="AS24" s="62" t="s">
        <v>39</v>
      </c>
      <c r="AT24" s="66">
        <v>0</v>
      </c>
      <c r="AU24" s="59">
        <f t="shared" si="3"/>
        <v>0</v>
      </c>
      <c r="AV24" s="68">
        <v>0</v>
      </c>
      <c r="AW24" s="61">
        <f t="shared" si="4"/>
        <v>0</v>
      </c>
      <c r="AX24" s="154"/>
      <c r="AY24" s="21" t="s">
        <v>23</v>
      </c>
    </row>
    <row r="25" spans="1:51" ht="26.25" customHeight="1" x14ac:dyDescent="0.25">
      <c r="A25" s="168"/>
      <c r="B25" s="154"/>
      <c r="C25" s="21" t="s">
        <v>24</v>
      </c>
      <c r="D25" s="51">
        <f t="shared" si="5"/>
        <v>0</v>
      </c>
      <c r="E25" s="51">
        <f t="shared" si="1"/>
        <v>0</v>
      </c>
      <c r="F25" s="33">
        <v>0</v>
      </c>
      <c r="G25" s="38">
        <v>0</v>
      </c>
      <c r="H25" s="33">
        <v>0</v>
      </c>
      <c r="I25" s="35">
        <v>0</v>
      </c>
      <c r="J25" s="38">
        <v>0</v>
      </c>
      <c r="K25" s="35">
        <v>0</v>
      </c>
      <c r="L25" s="35">
        <v>0</v>
      </c>
      <c r="M25" s="38">
        <v>0</v>
      </c>
      <c r="N25" s="39">
        <v>0</v>
      </c>
      <c r="O25" s="35">
        <v>0</v>
      </c>
      <c r="P25" s="38">
        <v>0</v>
      </c>
      <c r="Q25" s="39">
        <v>0</v>
      </c>
      <c r="R25" s="36">
        <v>0</v>
      </c>
      <c r="S25" s="38">
        <v>0</v>
      </c>
      <c r="T25" s="39">
        <v>0</v>
      </c>
      <c r="U25" s="35">
        <v>0</v>
      </c>
      <c r="V25" s="38">
        <v>0</v>
      </c>
      <c r="W25" s="48">
        <v>0</v>
      </c>
      <c r="X25" s="35">
        <v>0</v>
      </c>
      <c r="Y25" s="38">
        <v>0</v>
      </c>
      <c r="Z25" s="39">
        <v>0</v>
      </c>
      <c r="AA25" s="35">
        <v>0</v>
      </c>
      <c r="AB25" s="38">
        <v>0</v>
      </c>
      <c r="AC25" s="39">
        <v>0</v>
      </c>
      <c r="AD25" s="35">
        <v>0</v>
      </c>
      <c r="AE25" s="38">
        <v>0</v>
      </c>
      <c r="AF25" s="39">
        <v>0</v>
      </c>
      <c r="AG25" s="35">
        <v>0</v>
      </c>
      <c r="AH25" s="38">
        <v>0</v>
      </c>
      <c r="AI25" s="39">
        <v>0</v>
      </c>
      <c r="AJ25" s="35">
        <v>0</v>
      </c>
      <c r="AK25" s="38">
        <v>0</v>
      </c>
      <c r="AL25" s="39">
        <v>0</v>
      </c>
      <c r="AM25" s="35">
        <v>0</v>
      </c>
      <c r="AN25" s="93">
        <v>0</v>
      </c>
      <c r="AO25" s="39">
        <v>0</v>
      </c>
      <c r="AP25" s="39">
        <v>0</v>
      </c>
      <c r="AQ25" s="23"/>
      <c r="AR25" s="10"/>
      <c r="AS25" s="62" t="s">
        <v>40</v>
      </c>
      <c r="AT25" s="58">
        <v>0</v>
      </c>
      <c r="AU25" s="59">
        <f t="shared" si="3"/>
        <v>0</v>
      </c>
      <c r="AV25" s="60">
        <v>0</v>
      </c>
      <c r="AW25" s="61">
        <f t="shared" si="4"/>
        <v>0</v>
      </c>
      <c r="AX25" s="154"/>
      <c r="AY25" s="21" t="s">
        <v>24</v>
      </c>
    </row>
    <row r="26" spans="1:51" ht="26.25" customHeight="1" x14ac:dyDescent="0.25">
      <c r="A26" s="169"/>
      <c r="B26" s="155"/>
      <c r="C26" s="18" t="s">
        <v>25</v>
      </c>
      <c r="D26" s="51">
        <f t="shared" si="5"/>
        <v>0</v>
      </c>
      <c r="E26" s="51">
        <f t="shared" si="1"/>
        <v>0</v>
      </c>
      <c r="F26" s="33">
        <v>0</v>
      </c>
      <c r="G26" s="38">
        <v>0</v>
      </c>
      <c r="H26" s="33">
        <v>0</v>
      </c>
      <c r="I26" s="35">
        <v>0</v>
      </c>
      <c r="J26" s="38">
        <v>0</v>
      </c>
      <c r="K26" s="35">
        <v>0</v>
      </c>
      <c r="L26" s="35">
        <v>0</v>
      </c>
      <c r="M26" s="38">
        <v>0</v>
      </c>
      <c r="N26" s="39">
        <v>0</v>
      </c>
      <c r="O26" s="35">
        <v>0</v>
      </c>
      <c r="P26" s="38">
        <v>0</v>
      </c>
      <c r="Q26" s="39">
        <v>0</v>
      </c>
      <c r="R26" s="36">
        <v>0</v>
      </c>
      <c r="S26" s="38">
        <v>0</v>
      </c>
      <c r="T26" s="39">
        <v>0</v>
      </c>
      <c r="U26" s="35">
        <v>0</v>
      </c>
      <c r="V26" s="38">
        <v>0</v>
      </c>
      <c r="W26" s="48">
        <v>0</v>
      </c>
      <c r="X26" s="35">
        <v>0</v>
      </c>
      <c r="Y26" s="38">
        <v>0</v>
      </c>
      <c r="Z26" s="39">
        <v>0</v>
      </c>
      <c r="AA26" s="35">
        <v>0</v>
      </c>
      <c r="AB26" s="38">
        <v>0</v>
      </c>
      <c r="AC26" s="39">
        <v>0</v>
      </c>
      <c r="AD26" s="35">
        <v>0</v>
      </c>
      <c r="AE26" s="38">
        <v>0</v>
      </c>
      <c r="AF26" s="39">
        <v>0</v>
      </c>
      <c r="AG26" s="35">
        <v>0</v>
      </c>
      <c r="AH26" s="38">
        <v>0</v>
      </c>
      <c r="AI26" s="39">
        <v>0</v>
      </c>
      <c r="AJ26" s="35">
        <v>0</v>
      </c>
      <c r="AK26" s="38">
        <v>0</v>
      </c>
      <c r="AL26" s="39">
        <v>0</v>
      </c>
      <c r="AM26" s="35">
        <v>0</v>
      </c>
      <c r="AN26" s="93">
        <v>0</v>
      </c>
      <c r="AO26" s="39">
        <v>0</v>
      </c>
      <c r="AP26" s="39">
        <v>0</v>
      </c>
      <c r="AQ26" s="23"/>
      <c r="AR26" s="10"/>
      <c r="AS26" s="57" t="s">
        <v>41</v>
      </c>
      <c r="AT26" s="58">
        <v>0</v>
      </c>
      <c r="AU26" s="59">
        <f t="shared" si="3"/>
        <v>0</v>
      </c>
      <c r="AV26" s="60">
        <v>0</v>
      </c>
      <c r="AW26" s="61">
        <f t="shared" si="4"/>
        <v>0</v>
      </c>
      <c r="AX26" s="155"/>
      <c r="AY26" s="18" t="s">
        <v>25</v>
      </c>
    </row>
    <row r="27" spans="1:51" ht="39" customHeight="1" x14ac:dyDescent="0.25">
      <c r="A27" s="167" t="s">
        <v>31</v>
      </c>
      <c r="B27" s="153" t="s">
        <v>100</v>
      </c>
      <c r="C27" s="24" t="s">
        <v>21</v>
      </c>
      <c r="D27" s="50">
        <f>G27+J27+M27+P27+S27+V27+Y27+AB27+AE27+AH27+AK27+AN27</f>
        <v>405224.04000000004</v>
      </c>
      <c r="E27" s="49">
        <f t="shared" si="1"/>
        <v>206724.86000000002</v>
      </c>
      <c r="F27" s="40">
        <f t="shared" si="2"/>
        <v>51.014954591539038</v>
      </c>
      <c r="G27" s="42">
        <f>G28+G29</f>
        <v>13280.8</v>
      </c>
      <c r="H27" s="42">
        <f>H28+H29+H30+H31</f>
        <v>19047.900000000001</v>
      </c>
      <c r="I27" s="41">
        <f t="shared" si="19"/>
        <v>143.42434190711404</v>
      </c>
      <c r="J27" s="42">
        <f>J28+J29</f>
        <v>32635.8</v>
      </c>
      <c r="K27" s="41">
        <f>K28+K29+K30+K31</f>
        <v>21818.799999999999</v>
      </c>
      <c r="L27" s="41">
        <f t="shared" si="6"/>
        <v>66.855416444517985</v>
      </c>
      <c r="M27" s="42">
        <f>M28+M29</f>
        <v>35797.5</v>
      </c>
      <c r="N27" s="42">
        <f>N28+N29+N30+N31</f>
        <v>30671.88</v>
      </c>
      <c r="O27" s="41">
        <f t="shared" si="7"/>
        <v>85.681625811858382</v>
      </c>
      <c r="P27" s="42">
        <f>P28+P29</f>
        <v>34262.899999999994</v>
      </c>
      <c r="Q27" s="42">
        <f>Q28+Q29+Q30</f>
        <v>44236.71</v>
      </c>
      <c r="R27" s="41">
        <f t="shared" si="8"/>
        <v>129.10964921241344</v>
      </c>
      <c r="S27" s="42">
        <f>S28+S29</f>
        <v>41712.299999999996</v>
      </c>
      <c r="T27" s="42">
        <f>T28+T29+T30+T31</f>
        <v>30473.599999999999</v>
      </c>
      <c r="U27" s="41">
        <f t="shared" si="9"/>
        <v>73.056628380597573</v>
      </c>
      <c r="V27" s="42">
        <f>V28+V29</f>
        <v>45118.53</v>
      </c>
      <c r="W27" s="50">
        <f>W28+W29+W30+W31</f>
        <v>60475.97</v>
      </c>
      <c r="X27" s="41">
        <f t="shared" si="10"/>
        <v>134.03798838304351</v>
      </c>
      <c r="Y27" s="42">
        <f>Y28+Y29</f>
        <v>38073.140000000007</v>
      </c>
      <c r="Z27" s="42">
        <f>Z28+Z29</f>
        <v>0</v>
      </c>
      <c r="AA27" s="41">
        <f t="shared" si="11"/>
        <v>0</v>
      </c>
      <c r="AB27" s="42">
        <f>AB28+AB29</f>
        <v>38350.340000000004</v>
      </c>
      <c r="AC27" s="40">
        <f>AC28+AC29</f>
        <v>0</v>
      </c>
      <c r="AD27" s="41">
        <f t="shared" si="12"/>
        <v>0</v>
      </c>
      <c r="AE27" s="42">
        <f>AE28+AE29</f>
        <v>33948.44</v>
      </c>
      <c r="AF27" s="42">
        <f>AF28+AF29</f>
        <v>0</v>
      </c>
      <c r="AG27" s="41">
        <f t="shared" si="13"/>
        <v>0</v>
      </c>
      <c r="AH27" s="42">
        <f>AH28+AH29</f>
        <v>31320.44</v>
      </c>
      <c r="AI27" s="42">
        <f>AI28+AI29</f>
        <v>0</v>
      </c>
      <c r="AJ27" s="41">
        <f t="shared" si="14"/>
        <v>0</v>
      </c>
      <c r="AK27" s="42">
        <f>AK28+AK29</f>
        <v>32213.34</v>
      </c>
      <c r="AL27" s="42">
        <f>AL28+AL29</f>
        <v>0</v>
      </c>
      <c r="AM27" s="41">
        <f t="shared" si="15"/>
        <v>0</v>
      </c>
      <c r="AN27" s="95">
        <f>AN28+AN29</f>
        <v>28510.510000000002</v>
      </c>
      <c r="AO27" s="42">
        <v>0</v>
      </c>
      <c r="AP27" s="42">
        <v>0</v>
      </c>
      <c r="AQ27" s="19"/>
      <c r="AR27" s="88"/>
      <c r="AS27" s="83" t="s">
        <v>37</v>
      </c>
      <c r="AT27" s="84">
        <f>AT28+AT29+AT30+AT31</f>
        <v>405224.04</v>
      </c>
      <c r="AU27" s="85">
        <f>AT27-D27</f>
        <v>0</v>
      </c>
      <c r="AV27" s="86">
        <f>AV28+AV29+AV30+AV31</f>
        <v>206724.861</v>
      </c>
      <c r="AW27" s="87">
        <f>AV27-E27</f>
        <v>9.9999998928979039E-4</v>
      </c>
      <c r="AX27" s="153" t="s">
        <v>100</v>
      </c>
      <c r="AY27" s="24" t="s">
        <v>21</v>
      </c>
    </row>
    <row r="28" spans="1:51" ht="26.25" customHeight="1" x14ac:dyDescent="0.25">
      <c r="A28" s="168"/>
      <c r="B28" s="154"/>
      <c r="C28" s="18" t="s">
        <v>22</v>
      </c>
      <c r="D28" s="52">
        <f>G28+J28+M28+P28+S28+V28+Y28+AB28+AE28+AH28+AK28+AN28</f>
        <v>405224.04000000004</v>
      </c>
      <c r="E28" s="51">
        <f>H28+K28+N28+Q28+T28+W28+Z28+AC28+AF28+AI28+AL28+AO28</f>
        <v>206724.86000000002</v>
      </c>
      <c r="F28" s="33">
        <v>0</v>
      </c>
      <c r="G28" s="38">
        <v>13280.8</v>
      </c>
      <c r="H28" s="33">
        <v>19047.900000000001</v>
      </c>
      <c r="I28" s="35">
        <f>H28/G28*100</f>
        <v>143.42434190711404</v>
      </c>
      <c r="J28" s="38">
        <f>32638.8-3</f>
        <v>32635.8</v>
      </c>
      <c r="K28" s="35">
        <v>21818.799999999999</v>
      </c>
      <c r="L28" s="35">
        <v>0</v>
      </c>
      <c r="M28" s="38">
        <v>35797.5</v>
      </c>
      <c r="N28" s="33">
        <v>30671.88</v>
      </c>
      <c r="O28" s="35">
        <v>0</v>
      </c>
      <c r="P28" s="38">
        <f>33901.7+361.2</f>
        <v>34262.899999999994</v>
      </c>
      <c r="Q28" s="33">
        <v>44236.71</v>
      </c>
      <c r="R28" s="36">
        <f t="shared" si="8"/>
        <v>129.10964921241344</v>
      </c>
      <c r="S28" s="38">
        <f>41351.1+361.2</f>
        <v>41712.299999999996</v>
      </c>
      <c r="T28" s="33">
        <v>30473.599999999999</v>
      </c>
      <c r="U28" s="35">
        <f t="shared" si="9"/>
        <v>73.056628380597573</v>
      </c>
      <c r="V28" s="38">
        <f>44739.7+361.22+17.61</f>
        <v>45118.53</v>
      </c>
      <c r="W28" s="134">
        <v>60475.97</v>
      </c>
      <c r="X28" s="35">
        <v>0</v>
      </c>
      <c r="Y28" s="38">
        <f>37694.3+361.23+17.61</f>
        <v>38073.140000000007</v>
      </c>
      <c r="Z28" s="39">
        <v>0</v>
      </c>
      <c r="AA28" s="35">
        <f t="shared" si="11"/>
        <v>0</v>
      </c>
      <c r="AB28" s="38">
        <f>37971.5+361.23+17.61</f>
        <v>38350.340000000004</v>
      </c>
      <c r="AC28" s="39">
        <v>0</v>
      </c>
      <c r="AD28" s="35">
        <v>0</v>
      </c>
      <c r="AE28" s="38">
        <f>33569.6+361.23+17.61</f>
        <v>33948.44</v>
      </c>
      <c r="AF28" s="39">
        <v>0</v>
      </c>
      <c r="AG28" s="35">
        <v>0</v>
      </c>
      <c r="AH28" s="38">
        <f>30941.6+361.23+17.61</f>
        <v>31320.44</v>
      </c>
      <c r="AI28" s="39">
        <v>0</v>
      </c>
      <c r="AJ28" s="35">
        <v>0</v>
      </c>
      <c r="AK28" s="38">
        <f>31834.5+361.23+17.61</f>
        <v>32213.34</v>
      </c>
      <c r="AL28" s="39">
        <v>0</v>
      </c>
      <c r="AM28" s="35">
        <v>0</v>
      </c>
      <c r="AN28" s="93">
        <f>28131.7+361.23+17.58</f>
        <v>28510.510000000002</v>
      </c>
      <c r="AO28" s="39">
        <v>0</v>
      </c>
      <c r="AP28" s="89">
        <v>0</v>
      </c>
      <c r="AQ28" s="22"/>
      <c r="AR28" s="10"/>
      <c r="AS28" s="62" t="s">
        <v>38</v>
      </c>
      <c r="AT28" s="66">
        <v>405224.04</v>
      </c>
      <c r="AU28" s="59">
        <f t="shared" si="3"/>
        <v>0</v>
      </c>
      <c r="AV28" s="68">
        <v>206724.861</v>
      </c>
      <c r="AW28" s="61">
        <f>AV28-E28</f>
        <v>9.9999998928979039E-4</v>
      </c>
      <c r="AX28" s="154"/>
      <c r="AY28" s="18" t="s">
        <v>22</v>
      </c>
    </row>
    <row r="29" spans="1:51" ht="26.25" customHeight="1" x14ac:dyDescent="0.25">
      <c r="A29" s="168"/>
      <c r="B29" s="154"/>
      <c r="C29" s="21" t="s">
        <v>23</v>
      </c>
      <c r="D29" s="52">
        <f>G29+J29+M29+P29+S29+V29+Y29+AB29+AE29+AH29+AK29+AN29</f>
        <v>0</v>
      </c>
      <c r="E29" s="51">
        <f t="shared" si="1"/>
        <v>0</v>
      </c>
      <c r="F29" s="33" t="e">
        <f t="shared" si="2"/>
        <v>#DIV/0!</v>
      </c>
      <c r="G29" s="38">
        <v>0</v>
      </c>
      <c r="H29" s="33">
        <v>0</v>
      </c>
      <c r="I29" s="35" t="e">
        <f t="shared" si="19"/>
        <v>#DIV/0!</v>
      </c>
      <c r="J29" s="38">
        <v>0</v>
      </c>
      <c r="K29" s="35">
        <v>0</v>
      </c>
      <c r="L29" s="35" t="e">
        <f t="shared" si="6"/>
        <v>#DIV/0!</v>
      </c>
      <c r="M29" s="38">
        <v>0</v>
      </c>
      <c r="N29" s="39">
        <v>0</v>
      </c>
      <c r="O29" s="35" t="e">
        <f t="shared" si="7"/>
        <v>#DIV/0!</v>
      </c>
      <c r="P29" s="38">
        <v>0</v>
      </c>
      <c r="Q29" s="39">
        <v>0</v>
      </c>
      <c r="R29" s="36" t="e">
        <f t="shared" si="8"/>
        <v>#DIV/0!</v>
      </c>
      <c r="S29" s="38">
        <v>0</v>
      </c>
      <c r="T29" s="39">
        <v>0</v>
      </c>
      <c r="U29" s="35" t="e">
        <f t="shared" si="9"/>
        <v>#DIV/0!</v>
      </c>
      <c r="V29" s="38">
        <v>0</v>
      </c>
      <c r="W29" s="48">
        <v>0</v>
      </c>
      <c r="X29" s="35" t="e">
        <f t="shared" si="10"/>
        <v>#DIV/0!</v>
      </c>
      <c r="Y29" s="38">
        <v>0</v>
      </c>
      <c r="Z29" s="39">
        <v>0</v>
      </c>
      <c r="AA29" s="35" t="e">
        <f t="shared" si="11"/>
        <v>#DIV/0!</v>
      </c>
      <c r="AB29" s="38">
        <v>0</v>
      </c>
      <c r="AC29" s="39">
        <v>0</v>
      </c>
      <c r="AD29" s="35" t="e">
        <f t="shared" si="12"/>
        <v>#DIV/0!</v>
      </c>
      <c r="AE29" s="38">
        <v>0</v>
      </c>
      <c r="AF29" s="39">
        <v>0</v>
      </c>
      <c r="AG29" s="35" t="e">
        <f t="shared" si="13"/>
        <v>#DIV/0!</v>
      </c>
      <c r="AH29" s="38">
        <v>0</v>
      </c>
      <c r="AI29" s="39">
        <v>0</v>
      </c>
      <c r="AJ29" s="35">
        <v>0</v>
      </c>
      <c r="AK29" s="38">
        <v>0</v>
      </c>
      <c r="AL29" s="39">
        <v>0</v>
      </c>
      <c r="AM29" s="35" t="e">
        <f t="shared" si="15"/>
        <v>#DIV/0!</v>
      </c>
      <c r="AN29" s="93">
        <v>0</v>
      </c>
      <c r="AO29" s="39">
        <v>0</v>
      </c>
      <c r="AP29" s="89">
        <v>0</v>
      </c>
      <c r="AQ29" s="23"/>
      <c r="AR29" s="10"/>
      <c r="AS29" s="62" t="s">
        <v>39</v>
      </c>
      <c r="AT29" s="67">
        <v>0</v>
      </c>
      <c r="AU29" s="59">
        <f>AT29-D29</f>
        <v>0</v>
      </c>
      <c r="AV29" s="69">
        <v>0</v>
      </c>
      <c r="AW29" s="61">
        <f t="shared" si="4"/>
        <v>0</v>
      </c>
      <c r="AX29" s="154"/>
      <c r="AY29" s="21" t="s">
        <v>23</v>
      </c>
    </row>
    <row r="30" spans="1:51" ht="26.25" customHeight="1" x14ac:dyDescent="0.25">
      <c r="A30" s="168"/>
      <c r="B30" s="154"/>
      <c r="C30" s="21" t="s">
        <v>24</v>
      </c>
      <c r="D30" s="52">
        <f t="shared" ref="D30:D31" si="20">G30+J30+M30+P30+S30+V30+Y30+AB30+AE30+AH30+AK30+AN30</f>
        <v>0</v>
      </c>
      <c r="E30" s="51">
        <f t="shared" si="1"/>
        <v>0</v>
      </c>
      <c r="F30" s="33">
        <v>0</v>
      </c>
      <c r="G30" s="38">
        <v>0</v>
      </c>
      <c r="H30" s="33">
        <v>0</v>
      </c>
      <c r="I30" s="35">
        <v>0</v>
      </c>
      <c r="J30" s="38">
        <v>0</v>
      </c>
      <c r="K30" s="35">
        <v>0</v>
      </c>
      <c r="L30" s="35">
        <v>0</v>
      </c>
      <c r="M30" s="38">
        <v>0</v>
      </c>
      <c r="N30" s="39">
        <v>0</v>
      </c>
      <c r="O30" s="35">
        <v>0</v>
      </c>
      <c r="P30" s="38">
        <v>0</v>
      </c>
      <c r="Q30" s="39">
        <v>0</v>
      </c>
      <c r="R30" s="36">
        <v>0</v>
      </c>
      <c r="S30" s="38">
        <v>0</v>
      </c>
      <c r="T30" s="39">
        <v>0</v>
      </c>
      <c r="U30" s="35">
        <v>0</v>
      </c>
      <c r="V30" s="38">
        <v>0</v>
      </c>
      <c r="W30" s="48">
        <v>0</v>
      </c>
      <c r="X30" s="35">
        <v>0</v>
      </c>
      <c r="Y30" s="38">
        <v>0</v>
      </c>
      <c r="Z30" s="39">
        <v>0</v>
      </c>
      <c r="AA30" s="35">
        <v>0</v>
      </c>
      <c r="AB30" s="38">
        <v>0</v>
      </c>
      <c r="AC30" s="96">
        <v>0</v>
      </c>
      <c r="AD30" s="35">
        <v>0</v>
      </c>
      <c r="AE30" s="38">
        <v>0</v>
      </c>
      <c r="AF30" s="39">
        <v>0</v>
      </c>
      <c r="AG30" s="35">
        <v>0</v>
      </c>
      <c r="AH30" s="38">
        <v>0</v>
      </c>
      <c r="AI30" s="39">
        <v>0</v>
      </c>
      <c r="AJ30" s="35">
        <v>0</v>
      </c>
      <c r="AK30" s="38">
        <v>0</v>
      </c>
      <c r="AL30" s="39">
        <v>0</v>
      </c>
      <c r="AM30" s="35">
        <v>0</v>
      </c>
      <c r="AN30" s="93">
        <v>0</v>
      </c>
      <c r="AO30" s="39">
        <v>0</v>
      </c>
      <c r="AP30" s="39">
        <v>0</v>
      </c>
      <c r="AQ30" s="23"/>
      <c r="AR30" s="10"/>
      <c r="AS30" s="62" t="s">
        <v>40</v>
      </c>
      <c r="AT30" s="63">
        <v>0</v>
      </c>
      <c r="AU30" s="59">
        <f t="shared" si="3"/>
        <v>0</v>
      </c>
      <c r="AV30" s="64">
        <v>0</v>
      </c>
      <c r="AW30" s="61">
        <f t="shared" si="4"/>
        <v>0</v>
      </c>
      <c r="AX30" s="154"/>
      <c r="AY30" s="21" t="s">
        <v>24</v>
      </c>
    </row>
    <row r="31" spans="1:51" ht="26.25" customHeight="1" x14ac:dyDescent="0.25">
      <c r="A31" s="169"/>
      <c r="B31" s="155"/>
      <c r="C31" s="18" t="s">
        <v>25</v>
      </c>
      <c r="D31" s="52">
        <f t="shared" si="20"/>
        <v>0</v>
      </c>
      <c r="E31" s="51">
        <f t="shared" si="1"/>
        <v>0</v>
      </c>
      <c r="F31" s="33">
        <v>0</v>
      </c>
      <c r="G31" s="38">
        <v>0</v>
      </c>
      <c r="H31" s="33">
        <v>0</v>
      </c>
      <c r="I31" s="35">
        <v>0</v>
      </c>
      <c r="J31" s="38">
        <v>0</v>
      </c>
      <c r="K31" s="35">
        <v>0</v>
      </c>
      <c r="L31" s="35">
        <v>0</v>
      </c>
      <c r="M31" s="38">
        <v>0</v>
      </c>
      <c r="N31" s="39">
        <v>0</v>
      </c>
      <c r="O31" s="35">
        <v>0</v>
      </c>
      <c r="P31" s="38">
        <v>0</v>
      </c>
      <c r="Q31" s="39">
        <v>0</v>
      </c>
      <c r="R31" s="36">
        <v>0</v>
      </c>
      <c r="S31" s="38">
        <v>0</v>
      </c>
      <c r="T31" s="39">
        <v>0</v>
      </c>
      <c r="U31" s="35">
        <v>0</v>
      </c>
      <c r="V31" s="38">
        <v>0</v>
      </c>
      <c r="W31" s="48">
        <v>0</v>
      </c>
      <c r="X31" s="35">
        <v>0</v>
      </c>
      <c r="Y31" s="38">
        <v>0</v>
      </c>
      <c r="Z31" s="39">
        <v>0</v>
      </c>
      <c r="AA31" s="35">
        <v>0</v>
      </c>
      <c r="AB31" s="93">
        <v>0</v>
      </c>
      <c r="AC31" s="39">
        <v>0</v>
      </c>
      <c r="AD31" s="35">
        <v>0</v>
      </c>
      <c r="AE31" s="38">
        <v>0</v>
      </c>
      <c r="AF31" s="39">
        <v>0</v>
      </c>
      <c r="AG31" s="35">
        <v>0</v>
      </c>
      <c r="AH31" s="38">
        <v>0</v>
      </c>
      <c r="AI31" s="39">
        <v>0</v>
      </c>
      <c r="AJ31" s="35">
        <v>0</v>
      </c>
      <c r="AK31" s="38">
        <v>0</v>
      </c>
      <c r="AL31" s="39">
        <v>0</v>
      </c>
      <c r="AM31" s="35">
        <v>0</v>
      </c>
      <c r="AN31" s="38">
        <v>0</v>
      </c>
      <c r="AO31" s="39">
        <v>0</v>
      </c>
      <c r="AP31" s="39">
        <v>0</v>
      </c>
      <c r="AQ31" s="23"/>
      <c r="AR31" s="10"/>
      <c r="AS31" s="57" t="s">
        <v>41</v>
      </c>
      <c r="AT31" s="64">
        <v>0</v>
      </c>
      <c r="AU31" s="59">
        <f t="shared" si="3"/>
        <v>0</v>
      </c>
      <c r="AV31" s="64">
        <v>0</v>
      </c>
      <c r="AW31" s="61">
        <f t="shared" si="4"/>
        <v>0</v>
      </c>
      <c r="AX31" s="155"/>
      <c r="AY31" s="18" t="s">
        <v>25</v>
      </c>
    </row>
    <row r="32" spans="1:51" ht="15.75" x14ac:dyDescent="0.25">
      <c r="A32" s="3"/>
      <c r="B32" s="132"/>
      <c r="C32" s="131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7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7"/>
      <c r="AO32" s="27"/>
      <c r="AP32" s="28"/>
      <c r="AQ32" s="28"/>
      <c r="AR32" s="3"/>
      <c r="AS32" s="55"/>
      <c r="AT32" s="55"/>
      <c r="AU32" s="55"/>
      <c r="AV32" s="55"/>
      <c r="AW32" s="65"/>
      <c r="AX32" s="3"/>
      <c r="AY32" s="3"/>
    </row>
    <row r="33" spans="1:51" ht="15.75" x14ac:dyDescent="0.25">
      <c r="A33" s="3"/>
      <c r="B33" s="170" t="s">
        <v>44</v>
      </c>
      <c r="C33" s="170"/>
      <c r="D33" s="170"/>
      <c r="E33" s="170"/>
      <c r="F33" s="170"/>
      <c r="G33" s="170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7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7"/>
      <c r="AO33" s="27"/>
      <c r="AP33" s="28"/>
      <c r="AQ33" s="28"/>
      <c r="AR33" s="3"/>
      <c r="AS33" s="55"/>
      <c r="AT33" s="55"/>
      <c r="AU33" s="55"/>
      <c r="AV33" s="55"/>
      <c r="AW33" s="65"/>
      <c r="AX33" s="3"/>
      <c r="AY33" s="3"/>
    </row>
    <row r="34" spans="1:51" ht="32.25" customHeight="1" x14ac:dyDescent="0.25">
      <c r="A34" s="3"/>
      <c r="B34" s="166" t="s">
        <v>42</v>
      </c>
      <c r="C34" s="166"/>
      <c r="D34" s="166"/>
      <c r="E34" s="166"/>
      <c r="F34" s="166"/>
      <c r="G34" s="166"/>
      <c r="H34" s="166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7"/>
      <c r="AP34" s="28"/>
      <c r="AQ34" s="28"/>
      <c r="AR34" s="3"/>
      <c r="AS34" s="55"/>
      <c r="AT34" s="55"/>
      <c r="AU34" s="55"/>
      <c r="AV34" s="55"/>
      <c r="AW34" s="65"/>
      <c r="AX34" s="3"/>
      <c r="AY34" s="3"/>
    </row>
    <row r="35" spans="1:51" x14ac:dyDescent="0.25">
      <c r="B35" t="s">
        <v>45</v>
      </c>
      <c r="G35" s="45"/>
      <c r="M35" s="45"/>
    </row>
  </sheetData>
  <mergeCells count="44">
    <mergeCell ref="B34:H34"/>
    <mergeCell ref="A22:A26"/>
    <mergeCell ref="B22:B26"/>
    <mergeCell ref="AX22:AX26"/>
    <mergeCell ref="A27:A31"/>
    <mergeCell ref="B27:B31"/>
    <mergeCell ref="AX27:AX31"/>
    <mergeCell ref="B33:G33"/>
    <mergeCell ref="A17:A21"/>
    <mergeCell ref="B17:B21"/>
    <mergeCell ref="AX17:AX21"/>
    <mergeCell ref="AK10:AM10"/>
    <mergeCell ref="AN10:AP10"/>
    <mergeCell ref="AT10:AT11"/>
    <mergeCell ref="AU10:AU11"/>
    <mergeCell ref="AV10:AV11"/>
    <mergeCell ref="AW10:AW11"/>
    <mergeCell ref="S10:U10"/>
    <mergeCell ref="V10:X10"/>
    <mergeCell ref="AX10:AX11"/>
    <mergeCell ref="AE10:AG10"/>
    <mergeCell ref="AH10:AJ10"/>
    <mergeCell ref="AY10:AY11"/>
    <mergeCell ref="A12:A16"/>
    <mergeCell ref="B12:B16"/>
    <mergeCell ref="AX12:AX16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Y10:AA10"/>
    <mergeCell ref="AB10:AD10"/>
    <mergeCell ref="E6:Y6"/>
    <mergeCell ref="D1:O1"/>
    <mergeCell ref="AL1:AP1"/>
    <mergeCell ref="Z2:AP2"/>
    <mergeCell ref="AL3:AP3"/>
    <mergeCell ref="E5:Y5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68" fitToWidth="0" orientation="landscape" r:id="rId1"/>
  <colBreaks count="2" manualBreakCount="2">
    <brk id="21" max="1048575" man="1"/>
    <brk id="4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37"/>
  <sheetViews>
    <sheetView tabSelected="1" view="pageBreakPreview" topLeftCell="A7" zoomScale="80" zoomScaleNormal="100" zoomScaleSheetLayoutView="80" workbookViewId="0">
      <selection activeCell="Z7" sqref="Z1:Z1048576"/>
    </sheetView>
  </sheetViews>
  <sheetFormatPr defaultRowHeight="15" x14ac:dyDescent="0.25"/>
  <cols>
    <col min="1" max="1" width="4.5703125" customWidth="1"/>
    <col min="2" max="2" width="27.28515625" customWidth="1"/>
    <col min="3" max="3" width="9.28515625" customWidth="1"/>
    <col min="4" max="4" width="10.28515625" customWidth="1"/>
    <col min="5" max="5" width="10" customWidth="1"/>
    <col min="6" max="6" width="8.85546875" customWidth="1"/>
    <col min="7" max="8" width="9.28515625" customWidth="1"/>
    <col min="9" max="9" width="9.85546875" customWidth="1"/>
    <col min="10" max="10" width="9.28515625" customWidth="1"/>
    <col min="11" max="11" width="11.28515625" customWidth="1"/>
    <col min="12" max="12" width="9" customWidth="1"/>
    <col min="13" max="13" width="8.28515625" customWidth="1"/>
    <col min="14" max="14" width="8.5703125" style="32" customWidth="1"/>
    <col min="15" max="15" width="8.7109375" customWidth="1"/>
    <col min="16" max="17" width="9.28515625" style="32" customWidth="1"/>
    <col min="18" max="18" width="9.140625" style="32" customWidth="1"/>
    <col min="19" max="19" width="9.28515625" customWidth="1"/>
    <col min="20" max="20" width="9.28515625" style="32" customWidth="1"/>
    <col min="21" max="21" width="10.140625" customWidth="1"/>
    <col min="22" max="22" width="10.85546875" customWidth="1"/>
    <col min="23" max="23" width="8.7109375" customWidth="1"/>
    <col min="24" max="24" width="9.140625" customWidth="1"/>
    <col min="25" max="25" width="9.28515625" customWidth="1"/>
    <col min="26" max="26" width="8.28515625" customWidth="1"/>
    <col min="27" max="28" width="8.42578125" customWidth="1"/>
    <col min="29" max="29" width="9.28515625" customWidth="1"/>
    <col min="30" max="30" width="8.140625" customWidth="1"/>
    <col min="31" max="31" width="11.28515625" customWidth="1"/>
    <col min="32" max="32" width="7.28515625" customWidth="1"/>
    <col min="33" max="33" width="8.140625" customWidth="1"/>
    <col min="34" max="34" width="10.5703125" customWidth="1"/>
    <col min="35" max="35" width="10.42578125" customWidth="1"/>
    <col min="36" max="36" width="5.7109375" customWidth="1"/>
    <col min="37" max="37" width="9.42578125" customWidth="1"/>
    <col min="38" max="38" width="10.28515625" customWidth="1"/>
    <col min="39" max="39" width="8.5703125" customWidth="1"/>
    <col min="40" max="40" width="8.140625" customWidth="1"/>
    <col min="41" max="42" width="4.5703125" customWidth="1"/>
    <col min="43" max="43" width="2.7109375" hidden="1" customWidth="1"/>
    <col min="44" max="44" width="9.140625" hidden="1" customWidth="1"/>
    <col min="45" max="45" width="7.28515625" hidden="1" customWidth="1"/>
    <col min="46" max="46" width="12.7109375" hidden="1" customWidth="1"/>
    <col min="47" max="47" width="13.28515625" hidden="1" customWidth="1"/>
    <col min="48" max="48" width="16.140625" hidden="1" customWidth="1"/>
    <col min="49" max="49" width="17.5703125" hidden="1" customWidth="1"/>
    <col min="50" max="50" width="13" hidden="1" customWidth="1"/>
    <col min="51" max="51" width="12.28515625" hidden="1" customWidth="1"/>
  </cols>
  <sheetData>
    <row r="1" spans="1:51" ht="15.75" x14ac:dyDescent="0.25">
      <c r="A1" s="4"/>
      <c r="B1" s="97"/>
      <c r="C1" s="98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101"/>
      <c r="Q1" s="101"/>
      <c r="R1" s="8"/>
      <c r="S1" s="8"/>
      <c r="T1" s="8"/>
      <c r="U1" s="8"/>
      <c r="V1" s="8"/>
      <c r="W1" s="9"/>
      <c r="X1" s="8"/>
      <c r="Y1" s="8"/>
      <c r="Z1" s="9"/>
      <c r="AA1" s="9"/>
      <c r="AB1" s="8"/>
      <c r="AC1" s="8"/>
      <c r="AD1" s="8"/>
      <c r="AE1" s="8"/>
      <c r="AF1" s="8"/>
      <c r="AG1" s="8"/>
      <c r="AH1" s="8"/>
      <c r="AI1" s="8"/>
      <c r="AJ1" s="8"/>
      <c r="AK1" s="8"/>
      <c r="AL1" s="243" t="s">
        <v>49</v>
      </c>
      <c r="AM1" s="192"/>
      <c r="AN1" s="192"/>
      <c r="AO1" s="192"/>
      <c r="AP1" s="192"/>
      <c r="AQ1" s="4"/>
      <c r="AR1" s="4"/>
      <c r="AS1" s="53"/>
      <c r="AU1" s="53"/>
      <c r="AV1" s="53"/>
      <c r="AW1" s="54"/>
      <c r="AX1" s="4"/>
      <c r="AY1" s="4"/>
    </row>
    <row r="2" spans="1:51" ht="15.75" x14ac:dyDescent="0.25">
      <c r="A2" s="4"/>
      <c r="B2" s="97"/>
      <c r="C2" s="98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01"/>
      <c r="Q2" s="101"/>
      <c r="R2" s="8"/>
      <c r="S2" s="8"/>
      <c r="T2" s="8"/>
      <c r="U2" s="8"/>
      <c r="V2" s="8"/>
      <c r="W2" s="9"/>
      <c r="X2" s="8"/>
      <c r="Y2" s="8"/>
      <c r="Z2" s="245" t="s">
        <v>50</v>
      </c>
      <c r="AA2" s="245"/>
      <c r="AB2" s="245"/>
      <c r="AC2" s="245"/>
      <c r="AD2" s="245"/>
      <c r="AE2" s="245"/>
      <c r="AF2" s="245"/>
      <c r="AG2" s="245"/>
      <c r="AH2" s="245"/>
      <c r="AI2" s="245"/>
      <c r="AJ2" s="245"/>
      <c r="AK2" s="245"/>
      <c r="AL2" s="245"/>
      <c r="AM2" s="245"/>
      <c r="AN2" s="245"/>
      <c r="AO2" s="245"/>
      <c r="AP2" s="245"/>
      <c r="AQ2" s="4"/>
      <c r="AR2" s="4"/>
      <c r="AS2" s="53"/>
      <c r="AT2" s="53"/>
      <c r="AU2" s="53"/>
      <c r="AV2" s="53"/>
      <c r="AW2" s="54"/>
      <c r="AX2" s="4"/>
      <c r="AY2" s="4"/>
    </row>
    <row r="3" spans="1:51" ht="15.75" x14ac:dyDescent="0.25">
      <c r="A3" s="4"/>
      <c r="B3" s="97"/>
      <c r="C3" s="98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01"/>
      <c r="Q3" s="101"/>
      <c r="R3" s="8"/>
      <c r="S3" s="8"/>
      <c r="T3" s="8"/>
      <c r="U3" s="8"/>
      <c r="V3" s="8"/>
      <c r="W3" s="9"/>
      <c r="X3" s="8"/>
      <c r="Y3" s="8"/>
      <c r="Z3" s="9"/>
      <c r="AA3" s="9"/>
      <c r="AB3" s="8"/>
      <c r="AC3" s="8"/>
      <c r="AD3" s="8"/>
      <c r="AE3" s="8"/>
      <c r="AF3" s="8"/>
      <c r="AG3" s="8"/>
      <c r="AH3" s="8"/>
      <c r="AI3" s="8"/>
      <c r="AJ3" s="8"/>
      <c r="AK3" s="8"/>
      <c r="AL3" s="243" t="s">
        <v>51</v>
      </c>
      <c r="AM3" s="192"/>
      <c r="AN3" s="192"/>
      <c r="AO3" s="192"/>
      <c r="AP3" s="192"/>
      <c r="AQ3" s="4"/>
      <c r="AR3" s="4"/>
      <c r="AS3" s="53"/>
      <c r="AT3" s="53"/>
      <c r="AU3" s="53"/>
      <c r="AV3" s="53"/>
      <c r="AW3" s="54"/>
      <c r="AX3" s="4"/>
      <c r="AY3" s="4"/>
    </row>
    <row r="4" spans="1:51" ht="15.75" x14ac:dyDescent="0.25">
      <c r="A4" s="4"/>
      <c r="B4" s="97"/>
      <c r="C4" s="98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01"/>
      <c r="Q4" s="101"/>
      <c r="R4" s="8"/>
      <c r="S4" s="8"/>
      <c r="T4" s="8"/>
      <c r="U4" s="8"/>
      <c r="V4" s="8"/>
      <c r="W4" s="9"/>
      <c r="X4" s="8"/>
      <c r="Y4" s="8"/>
      <c r="Z4" s="9"/>
      <c r="AA4" s="9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4"/>
      <c r="AQ4" s="4"/>
      <c r="AR4" s="4"/>
      <c r="AS4" s="53"/>
      <c r="AT4" s="53"/>
      <c r="AU4" s="53"/>
      <c r="AV4" s="53"/>
      <c r="AW4" s="54"/>
      <c r="AX4" s="4"/>
      <c r="AY4" s="4"/>
    </row>
    <row r="5" spans="1:51" ht="15.75" x14ac:dyDescent="0.25">
      <c r="A5" s="4"/>
      <c r="B5" s="97"/>
      <c r="C5" s="98"/>
      <c r="D5" s="140"/>
      <c r="E5" s="226" t="s">
        <v>46</v>
      </c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9"/>
      <c r="AA5" s="9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4"/>
      <c r="AQ5" s="4"/>
      <c r="AR5" s="4"/>
      <c r="AS5" s="53"/>
      <c r="AT5" s="53"/>
      <c r="AU5" s="53"/>
      <c r="AV5" s="53"/>
      <c r="AW5" s="54"/>
      <c r="AX5" s="4"/>
      <c r="AY5" s="4"/>
    </row>
    <row r="6" spans="1:51" ht="15.75" x14ac:dyDescent="0.25">
      <c r="A6" s="4"/>
      <c r="B6" s="97"/>
      <c r="C6" s="98"/>
      <c r="D6" s="140"/>
      <c r="E6" s="226" t="s">
        <v>47</v>
      </c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9"/>
      <c r="AA6" s="9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4"/>
      <c r="AQ6" s="4"/>
      <c r="AR6" s="4"/>
      <c r="AS6" s="53"/>
      <c r="AT6" s="53"/>
      <c r="AU6" s="53"/>
      <c r="AV6" s="53"/>
      <c r="AW6" s="54"/>
      <c r="AX6" s="4"/>
      <c r="AY6" s="4"/>
    </row>
    <row r="7" spans="1:51" ht="15.75" x14ac:dyDescent="0.25">
      <c r="A7" s="4"/>
      <c r="B7" s="97"/>
      <c r="C7" s="98"/>
      <c r="D7" s="140"/>
      <c r="E7" s="226" t="s">
        <v>102</v>
      </c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9"/>
      <c r="AA7" s="9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4"/>
      <c r="AQ7" s="4"/>
      <c r="AR7" s="4"/>
      <c r="AS7" s="53"/>
      <c r="AT7" s="53"/>
      <c r="AU7" s="53"/>
      <c r="AV7" s="53"/>
      <c r="AW7" s="54"/>
      <c r="AX7" s="4"/>
      <c r="AY7" s="4"/>
    </row>
    <row r="8" spans="1:51" ht="15.75" hidden="1" x14ac:dyDescent="0.25">
      <c r="A8" s="4"/>
      <c r="B8" s="97"/>
      <c r="C8" s="98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01"/>
      <c r="Q8" s="101"/>
      <c r="R8" s="8"/>
      <c r="S8" s="8"/>
      <c r="T8" s="8"/>
      <c r="U8" s="8"/>
      <c r="V8" s="8"/>
      <c r="W8" s="9"/>
      <c r="X8" s="8"/>
      <c r="Y8" s="8"/>
      <c r="Z8" s="9"/>
      <c r="AA8" s="9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4"/>
      <c r="AQ8" s="4"/>
      <c r="AR8" s="4"/>
      <c r="AS8" s="53"/>
      <c r="AT8" s="53"/>
      <c r="AU8" s="53"/>
      <c r="AV8" s="53"/>
      <c r="AW8" s="54"/>
      <c r="AX8" s="4"/>
      <c r="AY8" s="4"/>
    </row>
    <row r="9" spans="1:51" ht="15.75" x14ac:dyDescent="0.25">
      <c r="A9" s="4"/>
      <c r="B9" s="97"/>
      <c r="C9" s="98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7"/>
      <c r="Q9" s="7"/>
      <c r="R9" s="8"/>
      <c r="S9" s="8"/>
      <c r="T9" s="8"/>
      <c r="U9" s="8"/>
      <c r="V9" s="8"/>
      <c r="W9" s="9"/>
      <c r="X9" s="8"/>
      <c r="Y9" s="8"/>
      <c r="Z9" s="9"/>
      <c r="AA9" s="9"/>
      <c r="AB9" s="8"/>
      <c r="AC9" s="8"/>
      <c r="AD9" s="8"/>
      <c r="AE9" s="8"/>
      <c r="AF9" s="8"/>
      <c r="AG9" s="8"/>
      <c r="AH9" s="8"/>
      <c r="AI9" s="8"/>
      <c r="AJ9" s="8"/>
      <c r="AK9" s="8"/>
      <c r="AL9" s="218" t="s">
        <v>52</v>
      </c>
      <c r="AM9" s="219"/>
      <c r="AN9" s="219"/>
      <c r="AO9" s="219"/>
      <c r="AP9" s="219"/>
      <c r="AQ9" s="4"/>
      <c r="AR9" s="4"/>
      <c r="AS9" s="53"/>
      <c r="AT9" s="53" t="s">
        <v>33</v>
      </c>
      <c r="AU9" s="53"/>
      <c r="AV9" s="53"/>
      <c r="AW9" s="54"/>
      <c r="AX9" s="4"/>
      <c r="AY9" s="4"/>
    </row>
    <row r="10" spans="1:51" ht="15" customHeight="1" x14ac:dyDescent="0.25">
      <c r="A10" s="164" t="s">
        <v>0</v>
      </c>
      <c r="B10" s="164" t="s">
        <v>1</v>
      </c>
      <c r="C10" s="148" t="s">
        <v>2</v>
      </c>
      <c r="D10" s="183" t="s">
        <v>43</v>
      </c>
      <c r="E10" s="184"/>
      <c r="F10" s="185"/>
      <c r="G10" s="186" t="s">
        <v>3</v>
      </c>
      <c r="H10" s="187"/>
      <c r="I10" s="188"/>
      <c r="J10" s="186" t="s">
        <v>4</v>
      </c>
      <c r="K10" s="187"/>
      <c r="L10" s="188"/>
      <c r="M10" s="177" t="s">
        <v>5</v>
      </c>
      <c r="N10" s="178"/>
      <c r="O10" s="179"/>
      <c r="P10" s="177" t="s">
        <v>6</v>
      </c>
      <c r="Q10" s="178"/>
      <c r="R10" s="179"/>
      <c r="S10" s="175" t="s">
        <v>7</v>
      </c>
      <c r="T10" s="175"/>
      <c r="U10" s="175"/>
      <c r="V10" s="180" t="s">
        <v>8</v>
      </c>
      <c r="W10" s="180"/>
      <c r="X10" s="180"/>
      <c r="Y10" s="247" t="s">
        <v>9</v>
      </c>
      <c r="Z10" s="247"/>
      <c r="AA10" s="247"/>
      <c r="AB10" s="181" t="s">
        <v>10</v>
      </c>
      <c r="AC10" s="181"/>
      <c r="AD10" s="181"/>
      <c r="AE10" s="181" t="s">
        <v>11</v>
      </c>
      <c r="AF10" s="181"/>
      <c r="AG10" s="181"/>
      <c r="AH10" s="174" t="s">
        <v>12</v>
      </c>
      <c r="AI10" s="174"/>
      <c r="AJ10" s="174"/>
      <c r="AK10" s="175" t="s">
        <v>13</v>
      </c>
      <c r="AL10" s="175"/>
      <c r="AM10" s="175"/>
      <c r="AN10" s="176" t="s">
        <v>14</v>
      </c>
      <c r="AO10" s="176"/>
      <c r="AP10" s="176"/>
      <c r="AQ10" s="10"/>
      <c r="AR10" s="10"/>
      <c r="AS10" s="55"/>
      <c r="AT10" s="156" t="s">
        <v>94</v>
      </c>
      <c r="AU10" s="158" t="s">
        <v>34</v>
      </c>
      <c r="AV10" s="160" t="s">
        <v>35</v>
      </c>
      <c r="AW10" s="162" t="s">
        <v>36</v>
      </c>
      <c r="AX10" s="164" t="s">
        <v>1</v>
      </c>
      <c r="AY10" s="148" t="s">
        <v>2</v>
      </c>
    </row>
    <row r="11" spans="1:51" ht="25.5" x14ac:dyDescent="0.25">
      <c r="A11" s="165"/>
      <c r="B11" s="165"/>
      <c r="C11" s="149"/>
      <c r="D11" s="11" t="s">
        <v>15</v>
      </c>
      <c r="E11" s="11" t="s">
        <v>16</v>
      </c>
      <c r="F11" s="12" t="s">
        <v>17</v>
      </c>
      <c r="G11" s="13" t="s">
        <v>18</v>
      </c>
      <c r="H11" s="137" t="s">
        <v>19</v>
      </c>
      <c r="I11" s="14" t="s">
        <v>17</v>
      </c>
      <c r="J11" s="13" t="s">
        <v>18</v>
      </c>
      <c r="K11" s="137" t="s">
        <v>19</v>
      </c>
      <c r="L11" s="14" t="s">
        <v>17</v>
      </c>
      <c r="M11" s="13" t="s">
        <v>18</v>
      </c>
      <c r="N11" s="136" t="s">
        <v>19</v>
      </c>
      <c r="O11" s="14" t="s">
        <v>17</v>
      </c>
      <c r="P11" s="13" t="s">
        <v>18</v>
      </c>
      <c r="Q11" s="136" t="s">
        <v>19</v>
      </c>
      <c r="R11" s="136" t="s">
        <v>17</v>
      </c>
      <c r="S11" s="13" t="s">
        <v>18</v>
      </c>
      <c r="T11" s="136" t="s">
        <v>19</v>
      </c>
      <c r="U11" s="14" t="s">
        <v>17</v>
      </c>
      <c r="V11" s="13" t="s">
        <v>18</v>
      </c>
      <c r="W11" s="136" t="s">
        <v>19</v>
      </c>
      <c r="X11" s="14" t="s">
        <v>17</v>
      </c>
      <c r="Y11" s="13" t="s">
        <v>18</v>
      </c>
      <c r="Z11" s="136" t="s">
        <v>19</v>
      </c>
      <c r="AA11" s="137" t="s">
        <v>17</v>
      </c>
      <c r="AB11" s="13" t="s">
        <v>18</v>
      </c>
      <c r="AC11" s="136" t="s">
        <v>19</v>
      </c>
      <c r="AD11" s="14" t="s">
        <v>17</v>
      </c>
      <c r="AE11" s="13" t="s">
        <v>18</v>
      </c>
      <c r="AF11" s="136" t="s">
        <v>19</v>
      </c>
      <c r="AG11" s="14" t="s">
        <v>17</v>
      </c>
      <c r="AH11" s="13" t="s">
        <v>18</v>
      </c>
      <c r="AI11" s="136" t="s">
        <v>19</v>
      </c>
      <c r="AJ11" s="14" t="s">
        <v>17</v>
      </c>
      <c r="AK11" s="13" t="s">
        <v>18</v>
      </c>
      <c r="AL11" s="136" t="s">
        <v>19</v>
      </c>
      <c r="AM11" s="14" t="s">
        <v>17</v>
      </c>
      <c r="AN11" s="15" t="s">
        <v>18</v>
      </c>
      <c r="AO11" s="136" t="s">
        <v>19</v>
      </c>
      <c r="AP11" s="16" t="s">
        <v>17</v>
      </c>
      <c r="AQ11" s="10"/>
      <c r="AR11" s="10"/>
      <c r="AS11" s="56"/>
      <c r="AT11" s="157"/>
      <c r="AU11" s="159"/>
      <c r="AV11" s="161"/>
      <c r="AW11" s="163"/>
      <c r="AX11" s="165"/>
      <c r="AY11" s="149"/>
    </row>
    <row r="12" spans="1:51" ht="28.5" customHeight="1" x14ac:dyDescent="0.25">
      <c r="A12" s="171"/>
      <c r="B12" s="150" t="s">
        <v>98</v>
      </c>
      <c r="C12" s="18" t="s">
        <v>21</v>
      </c>
      <c r="D12" s="49">
        <f>G12+J12+M12+P12+S12+V12+Y12+AB12+AE12+AH12+AK12+AN12</f>
        <v>433664.22000000003</v>
      </c>
      <c r="E12" s="49">
        <f>H12+K12+N12+Q12+T12+W12+Z12+AC12+AF12+AI12+AL12+AO12</f>
        <v>247910.33999999997</v>
      </c>
      <c r="F12" s="33">
        <f>E12/D12*100</f>
        <v>57.166427057320966</v>
      </c>
      <c r="G12" s="34">
        <f>G17+G22+G27</f>
        <v>13280.8</v>
      </c>
      <c r="H12" s="35">
        <f t="shared" ref="H12:AP15" si="0">H17+H22+H27</f>
        <v>19047.900000000001</v>
      </c>
      <c r="I12" s="34">
        <f>H12/G12*100</f>
        <v>143.42434190711404</v>
      </c>
      <c r="J12" s="34">
        <f t="shared" si="0"/>
        <v>32912.5</v>
      </c>
      <c r="K12" s="35">
        <f t="shared" si="0"/>
        <v>21862.16</v>
      </c>
      <c r="L12" s="34">
        <f>K12/J12*100</f>
        <v>66.425096847702235</v>
      </c>
      <c r="M12" s="34">
        <f t="shared" si="0"/>
        <v>36868.1</v>
      </c>
      <c r="N12" s="36">
        <f t="shared" si="0"/>
        <v>31351.95</v>
      </c>
      <c r="O12" s="34">
        <f t="shared" si="0"/>
        <v>195.46194409354513</v>
      </c>
      <c r="P12" s="34">
        <f t="shared" si="0"/>
        <v>36206.519999999997</v>
      </c>
      <c r="Q12" s="36">
        <f t="shared" si="0"/>
        <v>44496.82</v>
      </c>
      <c r="R12" s="36">
        <f t="shared" si="0"/>
        <v>185.60477317288604</v>
      </c>
      <c r="S12" s="34">
        <f t="shared" si="0"/>
        <v>47381.159999999996</v>
      </c>
      <c r="T12" s="36">
        <f t="shared" si="0"/>
        <v>31546.05</v>
      </c>
      <c r="U12" s="34">
        <f t="shared" si="0"/>
        <v>175.20772127718746</v>
      </c>
      <c r="V12" s="34">
        <f t="shared" si="0"/>
        <v>49901.009999999995</v>
      </c>
      <c r="W12" s="46">
        <f>W13+W14+W15+W16</f>
        <v>61215.56</v>
      </c>
      <c r="X12" s="34">
        <f t="shared" si="0"/>
        <v>231.56279957441993</v>
      </c>
      <c r="Y12" s="34">
        <f t="shared" si="0"/>
        <v>42041.420000000006</v>
      </c>
      <c r="Z12" s="34">
        <f t="shared" si="0"/>
        <v>38389.9</v>
      </c>
      <c r="AA12" s="34">
        <f t="shared" si="0"/>
        <v>264.12991391648154</v>
      </c>
      <c r="AB12" s="34">
        <f t="shared" si="0"/>
        <v>41016.120000000003</v>
      </c>
      <c r="AC12" s="34">
        <f t="shared" si="0"/>
        <v>0</v>
      </c>
      <c r="AD12" s="34">
        <f t="shared" si="0"/>
        <v>0</v>
      </c>
      <c r="AE12" s="34">
        <f t="shared" si="0"/>
        <v>36189.520000000004</v>
      </c>
      <c r="AF12" s="34">
        <f t="shared" si="0"/>
        <v>0</v>
      </c>
      <c r="AG12" s="34">
        <f t="shared" si="0"/>
        <v>0</v>
      </c>
      <c r="AH12" s="34">
        <f t="shared" si="0"/>
        <v>33152.629999999997</v>
      </c>
      <c r="AI12" s="34">
        <f t="shared" si="0"/>
        <v>0</v>
      </c>
      <c r="AJ12" s="34">
        <f t="shared" si="0"/>
        <v>0</v>
      </c>
      <c r="AK12" s="34">
        <f t="shared" si="0"/>
        <v>34126.92</v>
      </c>
      <c r="AL12" s="34">
        <f t="shared" si="0"/>
        <v>0</v>
      </c>
      <c r="AM12" s="34">
        <f t="shared" si="0"/>
        <v>0</v>
      </c>
      <c r="AN12" s="34">
        <f t="shared" si="0"/>
        <v>30587.520000000004</v>
      </c>
      <c r="AO12" s="34">
        <f t="shared" si="0"/>
        <v>0</v>
      </c>
      <c r="AP12" s="34">
        <f t="shared" si="0"/>
        <v>0</v>
      </c>
      <c r="AQ12" s="19"/>
      <c r="AR12" s="20"/>
      <c r="AS12" s="57" t="s">
        <v>37</v>
      </c>
      <c r="AT12" s="79">
        <f>AT13+AT14+AT15+AT16</f>
        <v>433664.22000000003</v>
      </c>
      <c r="AU12" s="80">
        <f>AT12-D12</f>
        <v>0</v>
      </c>
      <c r="AV12" s="81">
        <f>AV13+AV14+AV15+AV16</f>
        <v>247910.34000000003</v>
      </c>
      <c r="AW12" s="61">
        <f>AV12-E12</f>
        <v>0</v>
      </c>
      <c r="AX12" s="150" t="s">
        <v>98</v>
      </c>
      <c r="AY12" s="18" t="s">
        <v>21</v>
      </c>
    </row>
    <row r="13" spans="1:51" ht="39" customHeight="1" x14ac:dyDescent="0.25">
      <c r="A13" s="172"/>
      <c r="B13" s="151"/>
      <c r="C13" s="21" t="s">
        <v>22</v>
      </c>
      <c r="D13" s="51">
        <f>G13+J13+M13+P13+S13+V13+Y13+AB13+AE13+AH13+AK13+AN13</f>
        <v>418947.10000000003</v>
      </c>
      <c r="E13" s="51">
        <f t="shared" ref="E13:E31" si="1">H13+K13+N13+Q13+T13+W13+Z13+AC13+AF13+AI13+AL13+AO13</f>
        <v>247439.7</v>
      </c>
      <c r="F13" s="33">
        <f t="shared" ref="F13:F29" si="2">E13/D13*100</f>
        <v>59.062277791157882</v>
      </c>
      <c r="G13" s="34">
        <f>G18+G23+G28</f>
        <v>13280.8</v>
      </c>
      <c r="H13" s="35">
        <f t="shared" si="0"/>
        <v>19047.900000000001</v>
      </c>
      <c r="I13" s="34">
        <f>H13/G13*100</f>
        <v>143.42434190711404</v>
      </c>
      <c r="J13" s="34">
        <f t="shared" si="0"/>
        <v>32912.5</v>
      </c>
      <c r="K13" s="35">
        <f t="shared" si="0"/>
        <v>21862.16</v>
      </c>
      <c r="L13" s="34">
        <f t="shared" si="0"/>
        <v>2.2336227308603003</v>
      </c>
      <c r="M13" s="34">
        <f t="shared" si="0"/>
        <v>36815.800000000003</v>
      </c>
      <c r="N13" s="36">
        <f>N18+N23+N28</f>
        <v>31351.95</v>
      </c>
      <c r="O13" s="34">
        <v>0</v>
      </c>
      <c r="P13" s="34">
        <f t="shared" si="0"/>
        <v>34719.099999999991</v>
      </c>
      <c r="Q13" s="36">
        <f t="shared" si="0"/>
        <v>44496.82</v>
      </c>
      <c r="R13" s="36">
        <f t="shared" si="0"/>
        <v>281.39948044811138</v>
      </c>
      <c r="S13" s="34">
        <f t="shared" si="0"/>
        <v>44288.929999999993</v>
      </c>
      <c r="T13" s="36">
        <f t="shared" si="0"/>
        <v>31267.039999999997</v>
      </c>
      <c r="U13" s="34">
        <f t="shared" si="0"/>
        <v>172.13007443520539</v>
      </c>
      <c r="V13" s="34">
        <f t="shared" si="0"/>
        <v>48457.579999999994</v>
      </c>
      <c r="W13" s="46">
        <f t="shared" si="0"/>
        <v>61140</v>
      </c>
      <c r="X13" s="34">
        <f t="shared" si="0"/>
        <v>101.07229320962585</v>
      </c>
      <c r="Y13" s="34">
        <f t="shared" si="0"/>
        <v>40646.390000000007</v>
      </c>
      <c r="Z13" s="34">
        <f t="shared" si="0"/>
        <v>38273.83</v>
      </c>
      <c r="AA13" s="34">
        <f t="shared" si="0"/>
        <v>237.78874747793191</v>
      </c>
      <c r="AB13" s="34">
        <f t="shared" si="0"/>
        <v>39561.590000000004</v>
      </c>
      <c r="AC13" s="34">
        <f t="shared" si="0"/>
        <v>0</v>
      </c>
      <c r="AD13" s="34">
        <f t="shared" si="0"/>
        <v>0</v>
      </c>
      <c r="AE13" s="34">
        <f t="shared" si="0"/>
        <v>34660.19</v>
      </c>
      <c r="AF13" s="34">
        <f t="shared" si="0"/>
        <v>0</v>
      </c>
      <c r="AG13" s="34">
        <f t="shared" si="0"/>
        <v>0</v>
      </c>
      <c r="AH13" s="34">
        <f t="shared" si="0"/>
        <v>31710.799999999999</v>
      </c>
      <c r="AI13" s="34">
        <f t="shared" si="0"/>
        <v>0</v>
      </c>
      <c r="AJ13" s="34">
        <f t="shared" si="0"/>
        <v>0</v>
      </c>
      <c r="AK13" s="34">
        <f t="shared" si="0"/>
        <v>32700.9</v>
      </c>
      <c r="AL13" s="34">
        <f t="shared" si="0"/>
        <v>0</v>
      </c>
      <c r="AM13" s="34">
        <f t="shared" si="0"/>
        <v>0</v>
      </c>
      <c r="AN13" s="34">
        <f t="shared" si="0"/>
        <v>29192.52</v>
      </c>
      <c r="AO13" s="34">
        <f t="shared" si="0"/>
        <v>0</v>
      </c>
      <c r="AP13" s="89">
        <v>0</v>
      </c>
      <c r="AQ13" s="22"/>
      <c r="AR13" s="10"/>
      <c r="AS13" s="62" t="s">
        <v>38</v>
      </c>
      <c r="AT13" s="79">
        <f>AT18+AT23+AT28</f>
        <v>418947.1</v>
      </c>
      <c r="AU13" s="80">
        <f t="shared" ref="AU13:AU31" si="3">AT13-D13</f>
        <v>0</v>
      </c>
      <c r="AV13" s="81">
        <f>AV18+AV23+AV28</f>
        <v>247439.7</v>
      </c>
      <c r="AW13" s="61">
        <f t="shared" ref="AW13:AW31" si="4">AV13-E13</f>
        <v>0</v>
      </c>
      <c r="AX13" s="151"/>
      <c r="AY13" s="21" t="s">
        <v>22</v>
      </c>
    </row>
    <row r="14" spans="1:51" ht="26.25" customHeight="1" x14ac:dyDescent="0.25">
      <c r="A14" s="172"/>
      <c r="B14" s="151"/>
      <c r="C14" s="21" t="s">
        <v>23</v>
      </c>
      <c r="D14" s="51">
        <f t="shared" ref="D14:D26" si="5">G14+J14+M14+P14+S14+V14+Y14+AB14+AE14+AH14+AK14+AN14</f>
        <v>9266.84</v>
      </c>
      <c r="E14" s="51">
        <f>H14+K14+N14+Q14+T14+W14+Z14+AC14+AF14+AI14+AL14+AO14</f>
        <v>470.64</v>
      </c>
      <c r="F14" s="33">
        <f t="shared" si="2"/>
        <v>5.0787539225884988</v>
      </c>
      <c r="G14" s="34">
        <f>G19+G24+G29</f>
        <v>0</v>
      </c>
      <c r="H14" s="35">
        <f>H19+H29</f>
        <v>0</v>
      </c>
      <c r="I14" s="35" t="e">
        <f>H14/G14*100</f>
        <v>#DIV/0!</v>
      </c>
      <c r="J14" s="34">
        <f>J19+J24+J29</f>
        <v>0</v>
      </c>
      <c r="K14" s="35">
        <f>K19+K24+K29</f>
        <v>0</v>
      </c>
      <c r="L14" s="35" t="e">
        <f t="shared" ref="L14:L29" si="6">K14/J14*100</f>
        <v>#DIV/0!</v>
      </c>
      <c r="M14" s="34">
        <f>M19+M24+M29</f>
        <v>52.3</v>
      </c>
      <c r="N14" s="36">
        <f>N19+N24+N29</f>
        <v>0</v>
      </c>
      <c r="O14" s="35">
        <f t="shared" ref="O14:O29" si="7">N14/M14*100</f>
        <v>0</v>
      </c>
      <c r="P14" s="34">
        <f t="shared" si="0"/>
        <v>881.84</v>
      </c>
      <c r="Q14" s="36">
        <f>Q19+Q24+Q29</f>
        <v>0</v>
      </c>
      <c r="R14" s="36">
        <f t="shared" ref="R14:R29" si="8">Q14/P14*100</f>
        <v>0</v>
      </c>
      <c r="S14" s="37">
        <f t="shared" si="0"/>
        <v>2486.6400000000003</v>
      </c>
      <c r="T14" s="36">
        <f>T19+T24+T29</f>
        <v>279.01</v>
      </c>
      <c r="U14" s="35">
        <f t="shared" ref="U14:U29" si="9">T14/S14*100</f>
        <v>11.220361612456967</v>
      </c>
      <c r="V14" s="37">
        <f t="shared" si="0"/>
        <v>837.84</v>
      </c>
      <c r="W14" s="47">
        <f>W19+W24+W29</f>
        <v>75.56</v>
      </c>
      <c r="X14" s="35">
        <f t="shared" ref="X14:X29" si="10">W14/V14*100</f>
        <v>9.0184283395397689</v>
      </c>
      <c r="Y14" s="37">
        <f t="shared" si="0"/>
        <v>789.44</v>
      </c>
      <c r="Z14" s="36">
        <f>Z19+Z24+Z29</f>
        <v>116.07</v>
      </c>
      <c r="AA14" s="35">
        <f t="shared" ref="AA14:AA29" si="11">Z14/Y14*100</f>
        <v>14.702827320632345</v>
      </c>
      <c r="AB14" s="37">
        <f t="shared" si="0"/>
        <v>848.94</v>
      </c>
      <c r="AC14" s="36">
        <f>AC19+AC24+AC29</f>
        <v>0</v>
      </c>
      <c r="AD14" s="35">
        <f t="shared" ref="AD14:AD29" si="12">AC14/AB14*100</f>
        <v>0</v>
      </c>
      <c r="AE14" s="37">
        <f t="shared" si="0"/>
        <v>923.74</v>
      </c>
      <c r="AF14" s="36">
        <f>AF19+AF24+AF29</f>
        <v>0</v>
      </c>
      <c r="AG14" s="35">
        <f t="shared" ref="AG14:AG29" si="13">AF14/AE14*100</f>
        <v>0</v>
      </c>
      <c r="AH14" s="37">
        <f t="shared" si="0"/>
        <v>836.24</v>
      </c>
      <c r="AI14" s="36">
        <f>AI19+AI24+AI29</f>
        <v>0</v>
      </c>
      <c r="AJ14" s="35">
        <f t="shared" ref="AJ14:AJ27" si="14">AI14/AH14*100</f>
        <v>0</v>
      </c>
      <c r="AK14" s="37">
        <f t="shared" si="0"/>
        <v>820.43</v>
      </c>
      <c r="AL14" s="36">
        <v>0</v>
      </c>
      <c r="AM14" s="35">
        <f t="shared" ref="AM14:AM29" si="15">AL14/AK14*100</f>
        <v>0</v>
      </c>
      <c r="AN14" s="90">
        <f t="shared" si="0"/>
        <v>789.43</v>
      </c>
      <c r="AO14" s="36">
        <v>0</v>
      </c>
      <c r="AP14" s="91">
        <v>0</v>
      </c>
      <c r="AQ14" s="23"/>
      <c r="AR14" s="10"/>
      <c r="AS14" s="62" t="s">
        <v>39</v>
      </c>
      <c r="AT14" s="79">
        <f>AT19+AT24+AT29</f>
        <v>9266.84</v>
      </c>
      <c r="AU14" s="80">
        <f t="shared" si="3"/>
        <v>0</v>
      </c>
      <c r="AV14" s="81">
        <f>AV19+AV24+AV29</f>
        <v>470.64</v>
      </c>
      <c r="AW14" s="61">
        <f>AV14-E14</f>
        <v>0</v>
      </c>
      <c r="AX14" s="151"/>
      <c r="AY14" s="21" t="s">
        <v>23</v>
      </c>
    </row>
    <row r="15" spans="1:51" ht="26.25" customHeight="1" x14ac:dyDescent="0.25">
      <c r="A15" s="172"/>
      <c r="B15" s="151"/>
      <c r="C15" s="21" t="s">
        <v>24</v>
      </c>
      <c r="D15" s="51">
        <f>G15+J15+M15+P15+S15+V15+Y15+AB15+AE15+AH15+AK15+AN15</f>
        <v>5450.2800000000007</v>
      </c>
      <c r="E15" s="51">
        <f t="shared" si="1"/>
        <v>0</v>
      </c>
      <c r="F15" s="33">
        <v>0</v>
      </c>
      <c r="G15" s="34">
        <f t="shared" ref="G15" si="16">G20+G25+G30</f>
        <v>0</v>
      </c>
      <c r="H15" s="35">
        <f>H20+H25+H30</f>
        <v>0</v>
      </c>
      <c r="I15" s="35">
        <v>0</v>
      </c>
      <c r="J15" s="34">
        <f t="shared" ref="J15" si="17">J20+J25+J30</f>
        <v>0</v>
      </c>
      <c r="K15" s="35">
        <v>0</v>
      </c>
      <c r="L15" s="35">
        <v>0</v>
      </c>
      <c r="M15" s="34">
        <f>M20+M25+M30</f>
        <v>0</v>
      </c>
      <c r="N15" s="36">
        <f>N20+N25+N30</f>
        <v>0</v>
      </c>
      <c r="O15" s="35">
        <v>0</v>
      </c>
      <c r="P15" s="34">
        <f t="shared" si="0"/>
        <v>605.58000000000004</v>
      </c>
      <c r="Q15" s="36">
        <f>Q20+Q24+Q30</f>
        <v>0</v>
      </c>
      <c r="R15" s="36">
        <v>0</v>
      </c>
      <c r="S15" s="34">
        <f t="shared" si="0"/>
        <v>605.59</v>
      </c>
      <c r="T15" s="36">
        <v>0</v>
      </c>
      <c r="U15" s="35">
        <v>0</v>
      </c>
      <c r="V15" s="34">
        <f t="shared" si="0"/>
        <v>605.59</v>
      </c>
      <c r="W15" s="47">
        <v>0</v>
      </c>
      <c r="X15" s="35">
        <v>0</v>
      </c>
      <c r="Y15" s="34">
        <f>Y20</f>
        <v>605.59</v>
      </c>
      <c r="Z15" s="36">
        <v>0</v>
      </c>
      <c r="AA15" s="35">
        <v>0</v>
      </c>
      <c r="AB15" s="34">
        <f>AB20</f>
        <v>605.59</v>
      </c>
      <c r="AC15" s="36">
        <v>0</v>
      </c>
      <c r="AD15" s="35">
        <v>0</v>
      </c>
      <c r="AE15" s="34">
        <f t="shared" si="0"/>
        <v>605.59</v>
      </c>
      <c r="AF15" s="36">
        <v>0</v>
      </c>
      <c r="AG15" s="35">
        <v>0</v>
      </c>
      <c r="AH15" s="34">
        <f t="shared" si="0"/>
        <v>605.59</v>
      </c>
      <c r="AI15" s="36">
        <v>0</v>
      </c>
      <c r="AJ15" s="35">
        <v>0</v>
      </c>
      <c r="AK15" s="34">
        <f t="shared" si="0"/>
        <v>605.59</v>
      </c>
      <c r="AL15" s="36">
        <v>0</v>
      </c>
      <c r="AM15" s="35">
        <v>0</v>
      </c>
      <c r="AN15" s="92">
        <f t="shared" si="0"/>
        <v>605.57000000000005</v>
      </c>
      <c r="AO15" s="36">
        <v>0</v>
      </c>
      <c r="AP15" s="91">
        <v>0</v>
      </c>
      <c r="AQ15" s="23"/>
      <c r="AR15" s="10"/>
      <c r="AS15" s="62" t="s">
        <v>40</v>
      </c>
      <c r="AT15" s="79">
        <f>AT20+AT25+AT30</f>
        <v>5450.28</v>
      </c>
      <c r="AU15" s="80">
        <f t="shared" si="3"/>
        <v>0</v>
      </c>
      <c r="AV15" s="81">
        <f>AV20+AV25+AV30</f>
        <v>0</v>
      </c>
      <c r="AW15" s="61">
        <f t="shared" si="4"/>
        <v>0</v>
      </c>
      <c r="AX15" s="151"/>
      <c r="AY15" s="21" t="s">
        <v>24</v>
      </c>
    </row>
    <row r="16" spans="1:51" ht="43.5" customHeight="1" x14ac:dyDescent="0.25">
      <c r="A16" s="173"/>
      <c r="B16" s="152"/>
      <c r="C16" s="18" t="s">
        <v>25</v>
      </c>
      <c r="D16" s="51">
        <f t="shared" si="5"/>
        <v>0</v>
      </c>
      <c r="E16" s="51">
        <f t="shared" si="1"/>
        <v>0</v>
      </c>
      <c r="F16" s="33">
        <v>0</v>
      </c>
      <c r="G16" s="38">
        <v>0</v>
      </c>
      <c r="H16" s="33">
        <f>H21+H26+H31</f>
        <v>0</v>
      </c>
      <c r="I16" s="35">
        <v>0</v>
      </c>
      <c r="J16" s="38">
        <v>0</v>
      </c>
      <c r="K16" s="35">
        <v>0</v>
      </c>
      <c r="L16" s="35">
        <v>0</v>
      </c>
      <c r="M16" s="38">
        <v>0</v>
      </c>
      <c r="N16" s="39">
        <f>N21+N26+N31</f>
        <v>0</v>
      </c>
      <c r="O16" s="35">
        <v>0</v>
      </c>
      <c r="P16" s="38">
        <v>0</v>
      </c>
      <c r="Q16" s="39">
        <v>0</v>
      </c>
      <c r="R16" s="36">
        <v>0</v>
      </c>
      <c r="S16" s="38">
        <v>0</v>
      </c>
      <c r="T16" s="39">
        <v>0</v>
      </c>
      <c r="U16" s="35">
        <v>0</v>
      </c>
      <c r="V16" s="38">
        <v>0</v>
      </c>
      <c r="W16" s="48">
        <v>0</v>
      </c>
      <c r="X16" s="35">
        <v>0</v>
      </c>
      <c r="Y16" s="38">
        <v>0</v>
      </c>
      <c r="Z16" s="39">
        <v>0</v>
      </c>
      <c r="AA16" s="35">
        <v>0</v>
      </c>
      <c r="AB16" s="38">
        <v>0</v>
      </c>
      <c r="AC16" s="39">
        <v>0</v>
      </c>
      <c r="AD16" s="35">
        <v>0</v>
      </c>
      <c r="AE16" s="38">
        <v>0</v>
      </c>
      <c r="AF16" s="33">
        <v>0</v>
      </c>
      <c r="AG16" s="35">
        <v>0</v>
      </c>
      <c r="AH16" s="38">
        <v>0</v>
      </c>
      <c r="AI16" s="39">
        <v>0</v>
      </c>
      <c r="AJ16" s="35">
        <v>0</v>
      </c>
      <c r="AK16" s="38">
        <v>0</v>
      </c>
      <c r="AL16" s="39">
        <v>0</v>
      </c>
      <c r="AM16" s="35">
        <v>0</v>
      </c>
      <c r="AN16" s="93">
        <v>0</v>
      </c>
      <c r="AO16" s="39">
        <v>0</v>
      </c>
      <c r="AP16" s="39">
        <v>0</v>
      </c>
      <c r="AQ16" s="23"/>
      <c r="AR16" s="10"/>
      <c r="AS16" s="57" t="s">
        <v>41</v>
      </c>
      <c r="AT16" s="79">
        <f>AT21+AT26+AT31</f>
        <v>0</v>
      </c>
      <c r="AU16" s="80">
        <f t="shared" si="3"/>
        <v>0</v>
      </c>
      <c r="AV16" s="81">
        <f>AV21+AV26+AV31</f>
        <v>0</v>
      </c>
      <c r="AW16" s="61">
        <f t="shared" si="4"/>
        <v>0</v>
      </c>
      <c r="AX16" s="152"/>
      <c r="AY16" s="18" t="s">
        <v>25</v>
      </c>
    </row>
    <row r="17" spans="1:51" ht="39" customHeight="1" x14ac:dyDescent="0.25">
      <c r="A17" s="167" t="s">
        <v>26</v>
      </c>
      <c r="B17" s="153" t="s">
        <v>27</v>
      </c>
      <c r="C17" s="18" t="s">
        <v>21</v>
      </c>
      <c r="D17" s="49">
        <f>G17+J17+M17+P17+S17+V17+Y17+AB17+AE17+AH17+AK17+AN17</f>
        <v>21935.770000000004</v>
      </c>
      <c r="E17" s="49">
        <f t="shared" si="1"/>
        <v>3586.09</v>
      </c>
      <c r="F17" s="40">
        <f t="shared" ref="F17:O17" si="18">F18+F19+F20</f>
        <v>48.237100704881584</v>
      </c>
      <c r="G17" s="40">
        <f t="shared" si="18"/>
        <v>0</v>
      </c>
      <c r="H17" s="40">
        <f t="shared" si="18"/>
        <v>0</v>
      </c>
      <c r="I17" s="40" t="e">
        <f t="shared" si="18"/>
        <v>#DIV/0!</v>
      </c>
      <c r="J17" s="40">
        <f t="shared" si="18"/>
        <v>126.7</v>
      </c>
      <c r="K17" s="40">
        <f t="shared" si="18"/>
        <v>2.83</v>
      </c>
      <c r="L17" s="40" t="e">
        <f t="shared" si="18"/>
        <v>#DIV/0!</v>
      </c>
      <c r="M17" s="40">
        <f t="shared" si="18"/>
        <v>175.2</v>
      </c>
      <c r="N17" s="40">
        <f t="shared" si="18"/>
        <v>48.19</v>
      </c>
      <c r="O17" s="40">
        <f t="shared" si="18"/>
        <v>39.21074043938161</v>
      </c>
      <c r="P17" s="40">
        <f>P18+P19+P20+P21</f>
        <v>1506.6200000000001</v>
      </c>
      <c r="Q17" s="40">
        <f>Q18+Q19+Q20+Q21</f>
        <v>18.63</v>
      </c>
      <c r="R17" s="41">
        <f t="shared" si="8"/>
        <v>1.236542724774661</v>
      </c>
      <c r="S17" s="40">
        <f>S18+S20+S19</f>
        <v>4912.380000000001</v>
      </c>
      <c r="T17" s="40">
        <f>T18+T19+T20</f>
        <v>354.25</v>
      </c>
      <c r="U17" s="41">
        <f t="shared" si="9"/>
        <v>7.2113720844071496</v>
      </c>
      <c r="V17" s="40">
        <f>V18+V19+V20</f>
        <v>4110.26</v>
      </c>
      <c r="W17" s="49">
        <f>W18+W19+W21+W20</f>
        <v>416.03000000000003</v>
      </c>
      <c r="X17" s="41">
        <f t="shared" si="10"/>
        <v>10.121744123242813</v>
      </c>
      <c r="Y17" s="40">
        <f>Y18+Y19+Y20</f>
        <v>3197.4700000000003</v>
      </c>
      <c r="Z17" s="40">
        <f>Z18+Z19</f>
        <v>2746.1600000000003</v>
      </c>
      <c r="AA17" s="41">
        <f t="shared" si="11"/>
        <v>85.885403146862998</v>
      </c>
      <c r="AB17" s="40">
        <f>AB18+AB19+AB20</f>
        <v>1964.4700000000003</v>
      </c>
      <c r="AC17" s="40">
        <f>AC18+AC19</f>
        <v>0</v>
      </c>
      <c r="AD17" s="41">
        <f t="shared" si="12"/>
        <v>0</v>
      </c>
      <c r="AE17" s="40">
        <f>AE18+AE19+AE20</f>
        <v>1647.27</v>
      </c>
      <c r="AF17" s="40">
        <f>AF18+AF19</f>
        <v>0</v>
      </c>
      <c r="AG17" s="41">
        <f t="shared" si="13"/>
        <v>0</v>
      </c>
      <c r="AH17" s="40">
        <f>AH18+AH19+AH20</f>
        <v>1456.38</v>
      </c>
      <c r="AI17" s="40">
        <f>AI18+AI19</f>
        <v>0</v>
      </c>
      <c r="AJ17" s="41">
        <f t="shared" si="14"/>
        <v>0</v>
      </c>
      <c r="AK17" s="40">
        <f>AK18+AK19+AK20</f>
        <v>1437.77</v>
      </c>
      <c r="AL17" s="40">
        <f>AL18+AL19</f>
        <v>0</v>
      </c>
      <c r="AM17" s="41">
        <f t="shared" si="15"/>
        <v>0</v>
      </c>
      <c r="AN17" s="40">
        <f>AN18+AN19+AN20</f>
        <v>1401.25</v>
      </c>
      <c r="AO17" s="40">
        <v>0</v>
      </c>
      <c r="AP17" s="40">
        <v>0</v>
      </c>
      <c r="AQ17" s="19"/>
      <c r="AR17" s="82"/>
      <c r="AS17" s="83" t="s">
        <v>37</v>
      </c>
      <c r="AT17" s="84">
        <f>AT18+AT19+AT20</f>
        <v>21935.769999999997</v>
      </c>
      <c r="AU17" s="85">
        <f t="shared" si="3"/>
        <v>0</v>
      </c>
      <c r="AV17" s="86">
        <f>AV18+AV19+AV20+AV21</f>
        <v>3586.0899999999997</v>
      </c>
      <c r="AW17" s="87">
        <f t="shared" si="4"/>
        <v>0</v>
      </c>
      <c r="AX17" s="153" t="s">
        <v>27</v>
      </c>
      <c r="AY17" s="18" t="s">
        <v>21</v>
      </c>
    </row>
    <row r="18" spans="1:51" ht="26.25" customHeight="1" x14ac:dyDescent="0.25">
      <c r="A18" s="168"/>
      <c r="B18" s="154"/>
      <c r="C18" s="21" t="s">
        <v>22</v>
      </c>
      <c r="D18" s="51">
        <f>G18+J18+M18+P18+S18+V18+Y18+AB18+AE18+AH18+AK18+AN18</f>
        <v>7218.6500000000005</v>
      </c>
      <c r="E18" s="51">
        <f t="shared" si="1"/>
        <v>3115.4500000000003</v>
      </c>
      <c r="F18" s="33">
        <f t="shared" si="2"/>
        <v>43.158346782293087</v>
      </c>
      <c r="G18" s="38">
        <v>0</v>
      </c>
      <c r="H18" s="33">
        <v>0</v>
      </c>
      <c r="I18" s="35" t="e">
        <f t="shared" ref="I18:I29" si="19">H18/G18*100</f>
        <v>#DIV/0!</v>
      </c>
      <c r="J18" s="38">
        <f>123.7+3</f>
        <v>126.7</v>
      </c>
      <c r="K18" s="35">
        <v>2.83</v>
      </c>
      <c r="L18" s="35">
        <f t="shared" si="6"/>
        <v>2.2336227308603003</v>
      </c>
      <c r="M18" s="38">
        <v>122.9</v>
      </c>
      <c r="N18" s="33">
        <v>48.19</v>
      </c>
      <c r="O18" s="35">
        <f t="shared" si="7"/>
        <v>39.21074043938161</v>
      </c>
      <c r="P18" s="38">
        <v>19.2</v>
      </c>
      <c r="Q18" s="33">
        <v>18.63</v>
      </c>
      <c r="R18" s="36">
        <f t="shared" si="8"/>
        <v>97.03125</v>
      </c>
      <c r="S18" s="38">
        <f>1813.9+6.25</f>
        <v>1820.15</v>
      </c>
      <c r="T18" s="33">
        <v>75.239999999999995</v>
      </c>
      <c r="U18" s="35">
        <f t="shared" si="9"/>
        <v>4.1337252424250748</v>
      </c>
      <c r="V18" s="146">
        <v>2666.83</v>
      </c>
      <c r="W18" s="147">
        <v>340.47</v>
      </c>
      <c r="X18" s="35">
        <f t="shared" si="10"/>
        <v>12.766843030864361</v>
      </c>
      <c r="Y18" s="38">
        <f>1822+6.25-30.81+5</f>
        <v>1802.44</v>
      </c>
      <c r="Z18" s="33">
        <v>2630.09</v>
      </c>
      <c r="AA18" s="35">
        <f>Z18/Y18*100</f>
        <v>145.91831073433789</v>
      </c>
      <c r="AB18" s="38">
        <f>534.5+6.25-30.81</f>
        <v>509.94</v>
      </c>
      <c r="AC18" s="39">
        <v>0</v>
      </c>
      <c r="AD18" s="35">
        <f t="shared" si="12"/>
        <v>0</v>
      </c>
      <c r="AE18" s="38">
        <f>142.5+6.25-30.81</f>
        <v>117.94</v>
      </c>
      <c r="AF18" s="39">
        <v>0</v>
      </c>
      <c r="AG18" s="35">
        <v>0</v>
      </c>
      <c r="AH18" s="38">
        <f>8.3+6.25</f>
        <v>14.55</v>
      </c>
      <c r="AI18" s="39">
        <v>0</v>
      </c>
      <c r="AJ18" s="35">
        <v>0</v>
      </c>
      <c r="AK18" s="38">
        <f>5.5+6.25</f>
        <v>11.75</v>
      </c>
      <c r="AL18" s="39">
        <v>0</v>
      </c>
      <c r="AM18" s="35">
        <f t="shared" si="15"/>
        <v>0</v>
      </c>
      <c r="AN18" s="93">
        <v>6.25</v>
      </c>
      <c r="AO18" s="39">
        <v>0</v>
      </c>
      <c r="AP18" s="89">
        <v>0</v>
      </c>
      <c r="AQ18" s="22"/>
      <c r="AR18" s="10"/>
      <c r="AS18" s="62" t="s">
        <v>38</v>
      </c>
      <c r="AT18" s="141">
        <v>7218.65</v>
      </c>
      <c r="AU18" s="59">
        <f>AT18-D18</f>
        <v>0</v>
      </c>
      <c r="AV18" s="142">
        <v>3115.45</v>
      </c>
      <c r="AW18" s="61">
        <f t="shared" si="4"/>
        <v>0</v>
      </c>
      <c r="AX18" s="154"/>
      <c r="AY18" s="21" t="s">
        <v>22</v>
      </c>
    </row>
    <row r="19" spans="1:51" ht="26.25" customHeight="1" x14ac:dyDescent="0.25">
      <c r="A19" s="168"/>
      <c r="B19" s="154"/>
      <c r="C19" s="18" t="s">
        <v>23</v>
      </c>
      <c r="D19" s="51">
        <f>G19+J19+M19+P19+S19+V19+Y19+AB19+AE19+AH19+AK19+AN19</f>
        <v>9266.84</v>
      </c>
      <c r="E19" s="51">
        <f t="shared" si="1"/>
        <v>470.64</v>
      </c>
      <c r="F19" s="33">
        <f t="shared" si="2"/>
        <v>5.0787539225884988</v>
      </c>
      <c r="G19" s="38">
        <v>0</v>
      </c>
      <c r="H19" s="33">
        <v>0</v>
      </c>
      <c r="I19" s="35" t="e">
        <f t="shared" si="19"/>
        <v>#DIV/0!</v>
      </c>
      <c r="J19" s="38">
        <v>0</v>
      </c>
      <c r="K19" s="35">
        <v>0</v>
      </c>
      <c r="L19" s="35" t="e">
        <f>K19/J19*100</f>
        <v>#DIV/0!</v>
      </c>
      <c r="M19" s="38">
        <v>52.3</v>
      </c>
      <c r="N19" s="39">
        <v>0</v>
      </c>
      <c r="O19" s="35">
        <f t="shared" si="7"/>
        <v>0</v>
      </c>
      <c r="P19" s="38">
        <f>117.4+764.44</f>
        <v>881.84</v>
      </c>
      <c r="Q19" s="39">
        <v>0</v>
      </c>
      <c r="R19" s="36">
        <f t="shared" si="8"/>
        <v>0</v>
      </c>
      <c r="S19" s="38">
        <f>1697.2+764.44+25</f>
        <v>2486.6400000000003</v>
      </c>
      <c r="T19" s="33">
        <v>279.01</v>
      </c>
      <c r="U19" s="35">
        <f t="shared" si="9"/>
        <v>11.220361612456967</v>
      </c>
      <c r="V19" s="38">
        <f>48.4+764.44+25</f>
        <v>837.84</v>
      </c>
      <c r="W19" s="147">
        <v>75.56</v>
      </c>
      <c r="X19" s="35">
        <f t="shared" si="10"/>
        <v>9.0184283395397689</v>
      </c>
      <c r="Y19" s="38">
        <f>764.44+25</f>
        <v>789.44</v>
      </c>
      <c r="Z19" s="33">
        <v>116.07</v>
      </c>
      <c r="AA19" s="35">
        <f t="shared" si="11"/>
        <v>14.702827320632345</v>
      </c>
      <c r="AB19" s="38">
        <f>59.5+764.44+25</f>
        <v>848.94</v>
      </c>
      <c r="AC19" s="39">
        <v>0</v>
      </c>
      <c r="AD19" s="35">
        <f t="shared" si="12"/>
        <v>0</v>
      </c>
      <c r="AE19" s="38">
        <f>134.3+764.44+25</f>
        <v>923.74</v>
      </c>
      <c r="AF19" s="39">
        <v>0</v>
      </c>
      <c r="AG19" s="35">
        <f t="shared" si="13"/>
        <v>0</v>
      </c>
      <c r="AH19" s="38">
        <f>46.8+764.44+25</f>
        <v>836.24</v>
      </c>
      <c r="AI19" s="39">
        <v>0</v>
      </c>
      <c r="AJ19" s="35">
        <v>0</v>
      </c>
      <c r="AK19" s="38">
        <f>31+764.43+25</f>
        <v>820.43</v>
      </c>
      <c r="AL19" s="39">
        <v>0</v>
      </c>
      <c r="AM19" s="35">
        <v>0</v>
      </c>
      <c r="AN19" s="93">
        <f>764.43+25</f>
        <v>789.43</v>
      </c>
      <c r="AO19" s="39">
        <v>0</v>
      </c>
      <c r="AP19" s="89">
        <v>0</v>
      </c>
      <c r="AQ19" s="23"/>
      <c r="AR19" s="10"/>
      <c r="AS19" s="62" t="s">
        <v>39</v>
      </c>
      <c r="AT19" s="141">
        <v>9266.84</v>
      </c>
      <c r="AU19" s="59">
        <f t="shared" si="3"/>
        <v>0</v>
      </c>
      <c r="AV19" s="142">
        <v>470.64</v>
      </c>
      <c r="AW19" s="61">
        <f t="shared" si="4"/>
        <v>0</v>
      </c>
      <c r="AX19" s="154"/>
      <c r="AY19" s="18" t="s">
        <v>23</v>
      </c>
    </row>
    <row r="20" spans="1:51" ht="26.25" customHeight="1" x14ac:dyDescent="0.25">
      <c r="A20" s="168"/>
      <c r="B20" s="154"/>
      <c r="C20" s="21" t="s">
        <v>24</v>
      </c>
      <c r="D20" s="51">
        <f t="shared" si="5"/>
        <v>5450.2800000000007</v>
      </c>
      <c r="E20" s="51">
        <f t="shared" si="1"/>
        <v>0</v>
      </c>
      <c r="F20" s="33">
        <v>0</v>
      </c>
      <c r="G20" s="38">
        <v>0</v>
      </c>
      <c r="H20" s="33">
        <v>0</v>
      </c>
      <c r="I20" s="35">
        <v>0</v>
      </c>
      <c r="J20" s="38">
        <v>0</v>
      </c>
      <c r="K20" s="35">
        <v>0</v>
      </c>
      <c r="L20" s="35">
        <v>0</v>
      </c>
      <c r="M20" s="38">
        <v>0</v>
      </c>
      <c r="N20" s="39">
        <v>0</v>
      </c>
      <c r="O20" s="35">
        <v>0</v>
      </c>
      <c r="P20" s="38">
        <v>605.58000000000004</v>
      </c>
      <c r="Q20" s="39">
        <v>0</v>
      </c>
      <c r="R20" s="36">
        <v>0</v>
      </c>
      <c r="S20" s="38">
        <v>605.59</v>
      </c>
      <c r="T20" s="39">
        <v>0</v>
      </c>
      <c r="U20" s="35">
        <v>0</v>
      </c>
      <c r="V20" s="38">
        <v>605.59</v>
      </c>
      <c r="W20" s="48">
        <v>0</v>
      </c>
      <c r="X20" s="35">
        <v>0</v>
      </c>
      <c r="Y20" s="38">
        <v>605.59</v>
      </c>
      <c r="Z20" s="39">
        <v>0</v>
      </c>
      <c r="AA20" s="35">
        <v>0</v>
      </c>
      <c r="AB20" s="38">
        <v>605.59</v>
      </c>
      <c r="AC20" s="39">
        <v>0</v>
      </c>
      <c r="AD20" s="35">
        <v>0</v>
      </c>
      <c r="AE20" s="38">
        <v>605.59</v>
      </c>
      <c r="AF20" s="39">
        <v>0</v>
      </c>
      <c r="AG20" s="35">
        <v>0</v>
      </c>
      <c r="AH20" s="38">
        <v>605.59</v>
      </c>
      <c r="AI20" s="39">
        <v>0</v>
      </c>
      <c r="AJ20" s="35">
        <v>0</v>
      </c>
      <c r="AK20" s="38">
        <v>605.59</v>
      </c>
      <c r="AL20" s="39">
        <v>0</v>
      </c>
      <c r="AM20" s="35">
        <v>0</v>
      </c>
      <c r="AN20" s="93">
        <v>605.57000000000005</v>
      </c>
      <c r="AO20" s="39">
        <v>0</v>
      </c>
      <c r="AP20" s="89">
        <v>0</v>
      </c>
      <c r="AQ20" s="23"/>
      <c r="AR20" s="10"/>
      <c r="AS20" s="62" t="s">
        <v>40</v>
      </c>
      <c r="AT20" s="141">
        <v>5450.28</v>
      </c>
      <c r="AU20" s="59">
        <f t="shared" si="3"/>
        <v>0</v>
      </c>
      <c r="AV20" s="142">
        <v>0</v>
      </c>
      <c r="AW20" s="61">
        <f t="shared" si="4"/>
        <v>0</v>
      </c>
      <c r="AX20" s="154"/>
      <c r="AY20" s="21" t="s">
        <v>24</v>
      </c>
    </row>
    <row r="21" spans="1:51" ht="34.5" customHeight="1" x14ac:dyDescent="0.25">
      <c r="A21" s="169"/>
      <c r="B21" s="155"/>
      <c r="C21" s="18" t="s">
        <v>25</v>
      </c>
      <c r="D21" s="51">
        <f t="shared" si="5"/>
        <v>0</v>
      </c>
      <c r="E21" s="51">
        <f t="shared" si="1"/>
        <v>0</v>
      </c>
      <c r="F21" s="33">
        <v>0</v>
      </c>
      <c r="G21" s="38">
        <v>0</v>
      </c>
      <c r="H21" s="33">
        <v>0</v>
      </c>
      <c r="I21" s="35">
        <v>0</v>
      </c>
      <c r="J21" s="38">
        <v>0</v>
      </c>
      <c r="K21" s="35">
        <v>0</v>
      </c>
      <c r="L21" s="35">
        <v>0</v>
      </c>
      <c r="M21" s="38">
        <v>0</v>
      </c>
      <c r="N21" s="39">
        <v>0</v>
      </c>
      <c r="O21" s="35">
        <v>0</v>
      </c>
      <c r="P21" s="38">
        <v>0</v>
      </c>
      <c r="Q21" s="39">
        <v>0</v>
      </c>
      <c r="R21" s="36">
        <v>0</v>
      </c>
      <c r="S21" s="38">
        <v>0</v>
      </c>
      <c r="T21" s="39">
        <v>0</v>
      </c>
      <c r="U21" s="35">
        <v>0</v>
      </c>
      <c r="V21" s="38">
        <v>0</v>
      </c>
      <c r="W21" s="48">
        <v>0</v>
      </c>
      <c r="X21" s="35">
        <v>0</v>
      </c>
      <c r="Y21" s="38">
        <v>0</v>
      </c>
      <c r="Z21" s="39">
        <v>0</v>
      </c>
      <c r="AA21" s="35">
        <v>0</v>
      </c>
      <c r="AB21" s="38">
        <v>0</v>
      </c>
      <c r="AC21" s="39">
        <v>0</v>
      </c>
      <c r="AD21" s="35">
        <v>0</v>
      </c>
      <c r="AE21" s="38">
        <v>0</v>
      </c>
      <c r="AF21" s="39">
        <v>0</v>
      </c>
      <c r="AG21" s="35">
        <v>0</v>
      </c>
      <c r="AH21" s="38">
        <v>0</v>
      </c>
      <c r="AI21" s="39">
        <v>0</v>
      </c>
      <c r="AJ21" s="35">
        <v>0</v>
      </c>
      <c r="AK21" s="38">
        <v>0</v>
      </c>
      <c r="AL21" s="39">
        <v>0</v>
      </c>
      <c r="AM21" s="35">
        <v>0</v>
      </c>
      <c r="AN21" s="93">
        <v>0</v>
      </c>
      <c r="AO21" s="39">
        <v>0</v>
      </c>
      <c r="AP21" s="39">
        <v>0</v>
      </c>
      <c r="AQ21" s="23"/>
      <c r="AR21" s="10"/>
      <c r="AS21" s="57" t="s">
        <v>41</v>
      </c>
      <c r="AT21" s="58">
        <v>0</v>
      </c>
      <c r="AU21" s="59">
        <f t="shared" si="3"/>
        <v>0</v>
      </c>
      <c r="AV21" s="60">
        <v>0</v>
      </c>
      <c r="AW21" s="61">
        <f t="shared" si="4"/>
        <v>0</v>
      </c>
      <c r="AX21" s="155"/>
      <c r="AY21" s="18" t="s">
        <v>25</v>
      </c>
    </row>
    <row r="22" spans="1:51" ht="37.5" customHeight="1" x14ac:dyDescent="0.25">
      <c r="A22" s="167" t="s">
        <v>30</v>
      </c>
      <c r="B22" s="153" t="s">
        <v>28</v>
      </c>
      <c r="C22" s="18" t="s">
        <v>21</v>
      </c>
      <c r="D22" s="49">
        <f>G22+J22+M22+P22+S22+V22+Y22+AB22+AE22+AH22+AK22+AN22</f>
        <v>6198.6</v>
      </c>
      <c r="E22" s="49">
        <f t="shared" si="1"/>
        <v>2621.4300000000003</v>
      </c>
      <c r="F22" s="40">
        <f t="shared" si="2"/>
        <v>42.290678540315554</v>
      </c>
      <c r="G22" s="40">
        <f>G23+G24</f>
        <v>0</v>
      </c>
      <c r="H22" s="40">
        <f>H23+H24+H25+H26</f>
        <v>0</v>
      </c>
      <c r="I22" s="41">
        <v>0</v>
      </c>
      <c r="J22" s="40">
        <f>J23+J24+J25</f>
        <v>150</v>
      </c>
      <c r="K22" s="41">
        <f>K23+K24+K25+K26</f>
        <v>40.53</v>
      </c>
      <c r="L22" s="41">
        <v>0</v>
      </c>
      <c r="M22" s="40">
        <f>M23+M24+M25</f>
        <v>895.4</v>
      </c>
      <c r="N22" s="40">
        <f>N23+N24+N25+N26</f>
        <v>631.88</v>
      </c>
      <c r="O22" s="41">
        <f t="shared" si="7"/>
        <v>70.569577842305122</v>
      </c>
      <c r="P22" s="40">
        <f>P23+P24+P25</f>
        <v>437</v>
      </c>
      <c r="Q22" s="40">
        <f>Q23+Q24+Q25+Q26</f>
        <v>241.48</v>
      </c>
      <c r="R22" s="41">
        <f t="shared" si="8"/>
        <v>55.258581235697932</v>
      </c>
      <c r="S22" s="40">
        <f>S23+S24+S25</f>
        <v>756.48</v>
      </c>
      <c r="T22" s="40">
        <f>T23</f>
        <v>718.2</v>
      </c>
      <c r="U22" s="41">
        <f t="shared" si="9"/>
        <v>94.939720812182742</v>
      </c>
      <c r="V22" s="40">
        <f>V23+V24+V25</f>
        <v>366.41</v>
      </c>
      <c r="W22" s="49">
        <f>W23+W24+W25+W26</f>
        <v>323.56</v>
      </c>
      <c r="X22" s="41">
        <f t="shared" si="10"/>
        <v>88.30545017876149</v>
      </c>
      <c r="Y22" s="40">
        <f>Y23+Y24+Y25</f>
        <v>770.81</v>
      </c>
      <c r="Z22" s="40">
        <f>Z23</f>
        <v>665.78</v>
      </c>
      <c r="AA22" s="41">
        <f t="shared" si="11"/>
        <v>86.374074026024573</v>
      </c>
      <c r="AB22" s="40">
        <f>AB23+AB24+AB25</f>
        <v>701.31</v>
      </c>
      <c r="AC22" s="40">
        <f>AC23</f>
        <v>0</v>
      </c>
      <c r="AD22" s="41">
        <f t="shared" si="12"/>
        <v>0</v>
      </c>
      <c r="AE22" s="40">
        <f>AE23+AE24</f>
        <v>593.80999999999995</v>
      </c>
      <c r="AF22" s="40">
        <f>AF23+AF24</f>
        <v>0</v>
      </c>
      <c r="AG22" s="41">
        <f t="shared" si="13"/>
        <v>0</v>
      </c>
      <c r="AH22" s="40">
        <f>AH23+AH24</f>
        <v>375.81</v>
      </c>
      <c r="AI22" s="40">
        <f>AI23</f>
        <v>0</v>
      </c>
      <c r="AJ22" s="41">
        <f t="shared" si="14"/>
        <v>0</v>
      </c>
      <c r="AK22" s="40">
        <f>AK23+AK24</f>
        <v>475.81</v>
      </c>
      <c r="AL22" s="40">
        <f>AL23</f>
        <v>0</v>
      </c>
      <c r="AM22" s="41">
        <f t="shared" si="15"/>
        <v>0</v>
      </c>
      <c r="AN22" s="94">
        <f>AN23+AN24</f>
        <v>675.76</v>
      </c>
      <c r="AO22" s="40">
        <v>0</v>
      </c>
      <c r="AP22" s="40">
        <v>0</v>
      </c>
      <c r="AQ22" s="19"/>
      <c r="AR22" s="82"/>
      <c r="AS22" s="83" t="s">
        <v>37</v>
      </c>
      <c r="AT22" s="84">
        <f>AT23+AT24+AT25+AT26</f>
        <v>6198.6</v>
      </c>
      <c r="AU22" s="85">
        <f t="shared" si="3"/>
        <v>0</v>
      </c>
      <c r="AV22" s="86">
        <f>AV23+AV24+AV25+AV26</f>
        <v>2621.4299999999998</v>
      </c>
      <c r="AW22" s="87">
        <f t="shared" si="4"/>
        <v>0</v>
      </c>
      <c r="AX22" s="153" t="s">
        <v>28</v>
      </c>
      <c r="AY22" s="18" t="s">
        <v>21</v>
      </c>
    </row>
    <row r="23" spans="1:51" ht="26.25" customHeight="1" x14ac:dyDescent="0.25">
      <c r="A23" s="168"/>
      <c r="B23" s="154"/>
      <c r="C23" s="18" t="s">
        <v>22</v>
      </c>
      <c r="D23" s="51">
        <f>G23+J23+M23+P23+S23+V23+Y23+AB23+AE23+AH23+AK23+AN23</f>
        <v>6198.6</v>
      </c>
      <c r="E23" s="51">
        <f t="shared" si="1"/>
        <v>2621.4300000000003</v>
      </c>
      <c r="F23" s="33">
        <f t="shared" si="2"/>
        <v>42.290678540315554</v>
      </c>
      <c r="G23" s="38">
        <v>0</v>
      </c>
      <c r="H23" s="33">
        <v>0</v>
      </c>
      <c r="I23" s="35"/>
      <c r="J23" s="38">
        <v>150</v>
      </c>
      <c r="K23" s="35">
        <v>40.53</v>
      </c>
      <c r="L23" s="35">
        <v>0</v>
      </c>
      <c r="M23" s="38">
        <v>895.4</v>
      </c>
      <c r="N23" s="33">
        <v>631.88</v>
      </c>
      <c r="O23" s="35">
        <v>0</v>
      </c>
      <c r="P23" s="38">
        <v>437</v>
      </c>
      <c r="Q23" s="33">
        <v>241.48</v>
      </c>
      <c r="R23" s="36">
        <f t="shared" si="8"/>
        <v>55.258581235697932</v>
      </c>
      <c r="S23" s="38">
        <f>702.1+54.38</f>
        <v>756.48</v>
      </c>
      <c r="T23" s="33">
        <v>718.2</v>
      </c>
      <c r="U23" s="35">
        <f t="shared" si="9"/>
        <v>94.939720812182742</v>
      </c>
      <c r="V23" s="145">
        <v>366.41</v>
      </c>
      <c r="W23" s="147">
        <v>323.56</v>
      </c>
      <c r="X23" s="35">
        <f t="shared" si="10"/>
        <v>88.30545017876149</v>
      </c>
      <c r="Y23" s="38">
        <f>400+54.38+221.43+95</f>
        <v>770.81</v>
      </c>
      <c r="Z23" s="33">
        <v>665.78</v>
      </c>
      <c r="AA23" s="35">
        <v>0</v>
      </c>
      <c r="AB23" s="38">
        <f>425.5+54.38+221.43</f>
        <v>701.31</v>
      </c>
      <c r="AC23" s="39">
        <v>0</v>
      </c>
      <c r="AD23" s="35">
        <f t="shared" si="12"/>
        <v>0</v>
      </c>
      <c r="AE23" s="38">
        <f>318+54.38+221.43</f>
        <v>593.80999999999995</v>
      </c>
      <c r="AF23" s="39">
        <v>0</v>
      </c>
      <c r="AG23" s="35">
        <f t="shared" si="13"/>
        <v>0</v>
      </c>
      <c r="AH23" s="38">
        <f>100+54.38+221.43</f>
        <v>375.81</v>
      </c>
      <c r="AI23" s="39">
        <v>0</v>
      </c>
      <c r="AJ23" s="35">
        <f t="shared" si="14"/>
        <v>0</v>
      </c>
      <c r="AK23" s="38">
        <f>200+54.38+221.43</f>
        <v>475.81</v>
      </c>
      <c r="AL23" s="39">
        <v>0</v>
      </c>
      <c r="AM23" s="35">
        <f t="shared" si="15"/>
        <v>0</v>
      </c>
      <c r="AN23" s="93">
        <f>400+54.34+221.42</f>
        <v>675.76</v>
      </c>
      <c r="AO23" s="39">
        <v>0</v>
      </c>
      <c r="AP23" s="89">
        <v>0</v>
      </c>
      <c r="AQ23" s="22"/>
      <c r="AR23" s="10"/>
      <c r="AS23" s="62" t="s">
        <v>38</v>
      </c>
      <c r="AT23" s="141">
        <v>6198.6</v>
      </c>
      <c r="AU23" s="59">
        <f t="shared" si="3"/>
        <v>0</v>
      </c>
      <c r="AV23" s="142">
        <v>2621.4299999999998</v>
      </c>
      <c r="AW23" s="61">
        <f t="shared" si="4"/>
        <v>0</v>
      </c>
      <c r="AX23" s="154"/>
      <c r="AY23" s="18" t="s">
        <v>22</v>
      </c>
    </row>
    <row r="24" spans="1:51" ht="26.25" customHeight="1" x14ac:dyDescent="0.25">
      <c r="A24" s="168"/>
      <c r="B24" s="154"/>
      <c r="C24" s="21" t="s">
        <v>23</v>
      </c>
      <c r="D24" s="51">
        <f>G24+J24+M24+P24+S24+V24+Y24+AB24+AE24+AH24+AK24+AN24</f>
        <v>0</v>
      </c>
      <c r="E24" s="51">
        <f t="shared" si="1"/>
        <v>0</v>
      </c>
      <c r="F24" s="33">
        <v>0</v>
      </c>
      <c r="G24" s="38">
        <v>0</v>
      </c>
      <c r="H24" s="33">
        <v>0</v>
      </c>
      <c r="I24" s="35">
        <v>0</v>
      </c>
      <c r="J24" s="38">
        <v>0</v>
      </c>
      <c r="K24" s="35">
        <v>0</v>
      </c>
      <c r="L24" s="35">
        <v>0</v>
      </c>
      <c r="M24" s="38">
        <v>0</v>
      </c>
      <c r="N24" s="39">
        <v>0</v>
      </c>
      <c r="O24" s="35">
        <v>0</v>
      </c>
      <c r="P24" s="38">
        <v>0</v>
      </c>
      <c r="Q24" s="39">
        <v>0</v>
      </c>
      <c r="R24" s="36">
        <v>0</v>
      </c>
      <c r="S24" s="38">
        <v>0</v>
      </c>
      <c r="T24" s="39">
        <v>0</v>
      </c>
      <c r="U24" s="35">
        <v>0</v>
      </c>
      <c r="V24" s="38">
        <v>0</v>
      </c>
      <c r="W24" s="48">
        <v>0</v>
      </c>
      <c r="X24" s="35">
        <v>0</v>
      </c>
      <c r="Y24" s="38">
        <v>0</v>
      </c>
      <c r="Z24" s="39">
        <v>0</v>
      </c>
      <c r="AA24" s="35">
        <v>0</v>
      </c>
      <c r="AB24" s="38">
        <v>0</v>
      </c>
      <c r="AC24" s="39">
        <v>0</v>
      </c>
      <c r="AD24" s="35">
        <v>0</v>
      </c>
      <c r="AE24" s="38">
        <v>0</v>
      </c>
      <c r="AF24" s="39">
        <v>0</v>
      </c>
      <c r="AG24" s="35">
        <v>0</v>
      </c>
      <c r="AH24" s="38">
        <v>0</v>
      </c>
      <c r="AI24" s="39">
        <v>0</v>
      </c>
      <c r="AJ24" s="35">
        <v>0</v>
      </c>
      <c r="AK24" s="38">
        <v>0</v>
      </c>
      <c r="AL24" s="39">
        <v>0</v>
      </c>
      <c r="AM24" s="35">
        <v>0</v>
      </c>
      <c r="AN24" s="93">
        <v>0</v>
      </c>
      <c r="AO24" s="39">
        <v>0</v>
      </c>
      <c r="AP24" s="89">
        <v>0</v>
      </c>
      <c r="AQ24" s="23"/>
      <c r="AR24" s="10"/>
      <c r="AS24" s="62" t="s">
        <v>39</v>
      </c>
      <c r="AT24" s="141">
        <v>0</v>
      </c>
      <c r="AU24" s="59">
        <f t="shared" si="3"/>
        <v>0</v>
      </c>
      <c r="AV24" s="142">
        <v>0</v>
      </c>
      <c r="AW24" s="61">
        <f t="shared" si="4"/>
        <v>0</v>
      </c>
      <c r="AX24" s="154"/>
      <c r="AY24" s="21" t="s">
        <v>23</v>
      </c>
    </row>
    <row r="25" spans="1:51" ht="26.25" customHeight="1" x14ac:dyDescent="0.25">
      <c r="A25" s="168"/>
      <c r="B25" s="154"/>
      <c r="C25" s="21" t="s">
        <v>24</v>
      </c>
      <c r="D25" s="51">
        <f t="shared" si="5"/>
        <v>0</v>
      </c>
      <c r="E25" s="51">
        <f t="shared" si="1"/>
        <v>0</v>
      </c>
      <c r="F25" s="33">
        <v>0</v>
      </c>
      <c r="G25" s="38">
        <v>0</v>
      </c>
      <c r="H25" s="33">
        <v>0</v>
      </c>
      <c r="I25" s="35">
        <v>0</v>
      </c>
      <c r="J25" s="38">
        <v>0</v>
      </c>
      <c r="K25" s="35">
        <v>0</v>
      </c>
      <c r="L25" s="35">
        <v>0</v>
      </c>
      <c r="M25" s="38">
        <v>0</v>
      </c>
      <c r="N25" s="39">
        <v>0</v>
      </c>
      <c r="O25" s="35">
        <v>0</v>
      </c>
      <c r="P25" s="38">
        <v>0</v>
      </c>
      <c r="Q25" s="39">
        <v>0</v>
      </c>
      <c r="R25" s="36">
        <v>0</v>
      </c>
      <c r="S25" s="38">
        <v>0</v>
      </c>
      <c r="T25" s="39">
        <v>0</v>
      </c>
      <c r="U25" s="35">
        <v>0</v>
      </c>
      <c r="V25" s="38">
        <v>0</v>
      </c>
      <c r="W25" s="48">
        <v>0</v>
      </c>
      <c r="X25" s="35">
        <v>0</v>
      </c>
      <c r="Y25" s="38">
        <v>0</v>
      </c>
      <c r="Z25" s="39">
        <v>0</v>
      </c>
      <c r="AA25" s="35">
        <v>0</v>
      </c>
      <c r="AB25" s="38">
        <v>0</v>
      </c>
      <c r="AC25" s="39">
        <v>0</v>
      </c>
      <c r="AD25" s="35">
        <v>0</v>
      </c>
      <c r="AE25" s="38">
        <v>0</v>
      </c>
      <c r="AF25" s="39">
        <v>0</v>
      </c>
      <c r="AG25" s="35">
        <v>0</v>
      </c>
      <c r="AH25" s="38">
        <v>0</v>
      </c>
      <c r="AI25" s="39">
        <v>0</v>
      </c>
      <c r="AJ25" s="35">
        <v>0</v>
      </c>
      <c r="AK25" s="38">
        <v>0</v>
      </c>
      <c r="AL25" s="39">
        <v>0</v>
      </c>
      <c r="AM25" s="35">
        <v>0</v>
      </c>
      <c r="AN25" s="93">
        <v>0</v>
      </c>
      <c r="AO25" s="39">
        <v>0</v>
      </c>
      <c r="AP25" s="39">
        <v>0</v>
      </c>
      <c r="AQ25" s="23"/>
      <c r="AR25" s="10"/>
      <c r="AS25" s="62" t="s">
        <v>40</v>
      </c>
      <c r="AT25" s="141">
        <v>0</v>
      </c>
      <c r="AU25" s="59">
        <f t="shared" si="3"/>
        <v>0</v>
      </c>
      <c r="AV25" s="142">
        <v>0</v>
      </c>
      <c r="AW25" s="61">
        <f t="shared" si="4"/>
        <v>0</v>
      </c>
      <c r="AX25" s="154"/>
      <c r="AY25" s="21" t="s">
        <v>24</v>
      </c>
    </row>
    <row r="26" spans="1:51" ht="26.25" customHeight="1" x14ac:dyDescent="0.25">
      <c r="A26" s="169"/>
      <c r="B26" s="155"/>
      <c r="C26" s="18" t="s">
        <v>25</v>
      </c>
      <c r="D26" s="51">
        <f t="shared" si="5"/>
        <v>0</v>
      </c>
      <c r="E26" s="51">
        <f t="shared" si="1"/>
        <v>0</v>
      </c>
      <c r="F26" s="33">
        <v>0</v>
      </c>
      <c r="G26" s="38">
        <v>0</v>
      </c>
      <c r="H26" s="33">
        <v>0</v>
      </c>
      <c r="I26" s="35">
        <v>0</v>
      </c>
      <c r="J26" s="38">
        <v>0</v>
      </c>
      <c r="K26" s="35">
        <v>0</v>
      </c>
      <c r="L26" s="35">
        <v>0</v>
      </c>
      <c r="M26" s="38">
        <v>0</v>
      </c>
      <c r="N26" s="39">
        <v>0</v>
      </c>
      <c r="O26" s="35">
        <v>0</v>
      </c>
      <c r="P26" s="38">
        <v>0</v>
      </c>
      <c r="Q26" s="39">
        <v>0</v>
      </c>
      <c r="R26" s="36">
        <v>0</v>
      </c>
      <c r="S26" s="38">
        <v>0</v>
      </c>
      <c r="T26" s="39">
        <v>0</v>
      </c>
      <c r="U26" s="35">
        <v>0</v>
      </c>
      <c r="V26" s="38">
        <v>0</v>
      </c>
      <c r="W26" s="48">
        <v>0</v>
      </c>
      <c r="X26" s="35">
        <v>0</v>
      </c>
      <c r="Y26" s="38">
        <v>0</v>
      </c>
      <c r="Z26" s="39">
        <v>0</v>
      </c>
      <c r="AA26" s="35">
        <v>0</v>
      </c>
      <c r="AB26" s="38">
        <v>0</v>
      </c>
      <c r="AC26" s="39">
        <v>0</v>
      </c>
      <c r="AD26" s="35">
        <v>0</v>
      </c>
      <c r="AE26" s="38">
        <v>0</v>
      </c>
      <c r="AF26" s="39">
        <v>0</v>
      </c>
      <c r="AG26" s="35">
        <v>0</v>
      </c>
      <c r="AH26" s="38">
        <v>0</v>
      </c>
      <c r="AI26" s="39">
        <v>0</v>
      </c>
      <c r="AJ26" s="35">
        <v>0</v>
      </c>
      <c r="AK26" s="38">
        <v>0</v>
      </c>
      <c r="AL26" s="39">
        <v>0</v>
      </c>
      <c r="AM26" s="35">
        <v>0</v>
      </c>
      <c r="AN26" s="93">
        <v>0</v>
      </c>
      <c r="AO26" s="39">
        <v>0</v>
      </c>
      <c r="AP26" s="39">
        <v>0</v>
      </c>
      <c r="AQ26" s="23"/>
      <c r="AR26" s="10"/>
      <c r="AS26" s="57" t="s">
        <v>41</v>
      </c>
      <c r="AT26" s="58">
        <v>0</v>
      </c>
      <c r="AU26" s="59">
        <f t="shared" si="3"/>
        <v>0</v>
      </c>
      <c r="AV26" s="60">
        <v>0</v>
      </c>
      <c r="AW26" s="61">
        <f t="shared" si="4"/>
        <v>0</v>
      </c>
      <c r="AX26" s="155"/>
      <c r="AY26" s="18" t="s">
        <v>25</v>
      </c>
    </row>
    <row r="27" spans="1:51" ht="39" customHeight="1" x14ac:dyDescent="0.25">
      <c r="A27" s="167" t="s">
        <v>31</v>
      </c>
      <c r="B27" s="153" t="s">
        <v>100</v>
      </c>
      <c r="C27" s="24" t="s">
        <v>21</v>
      </c>
      <c r="D27" s="50">
        <f>G27+J27+M27+P27+S27+V27+Y27+AB27+AE27+AH27+AK27+AN27</f>
        <v>405529.85000000003</v>
      </c>
      <c r="E27" s="49">
        <f t="shared" si="1"/>
        <v>241702.82</v>
      </c>
      <c r="F27" s="40">
        <f t="shared" si="2"/>
        <v>59.601733386580534</v>
      </c>
      <c r="G27" s="42">
        <f>G28+G29</f>
        <v>13280.8</v>
      </c>
      <c r="H27" s="42">
        <f>H28+H29+H30+H31</f>
        <v>19047.900000000001</v>
      </c>
      <c r="I27" s="41">
        <f t="shared" si="19"/>
        <v>143.42434190711404</v>
      </c>
      <c r="J27" s="42">
        <f>J28+J29</f>
        <v>32635.8</v>
      </c>
      <c r="K27" s="41">
        <f>K28+K29+K30+K31</f>
        <v>21818.799999999999</v>
      </c>
      <c r="L27" s="41">
        <f t="shared" si="6"/>
        <v>66.855416444517985</v>
      </c>
      <c r="M27" s="42">
        <f>M28+M29</f>
        <v>35797.5</v>
      </c>
      <c r="N27" s="42">
        <f>N28+N29+N30+N31</f>
        <v>30671.88</v>
      </c>
      <c r="O27" s="41">
        <f t="shared" si="7"/>
        <v>85.681625811858382</v>
      </c>
      <c r="P27" s="42">
        <f>P28+P29</f>
        <v>34262.899999999994</v>
      </c>
      <c r="Q27" s="42">
        <f>Q28+Q29+Q30</f>
        <v>44236.71</v>
      </c>
      <c r="R27" s="41">
        <f t="shared" si="8"/>
        <v>129.10964921241344</v>
      </c>
      <c r="S27" s="42">
        <f>S28+S29</f>
        <v>41712.299999999996</v>
      </c>
      <c r="T27" s="42">
        <f>T28+T29+T30+T31</f>
        <v>30473.599999999999</v>
      </c>
      <c r="U27" s="41">
        <f t="shared" si="9"/>
        <v>73.056628380597573</v>
      </c>
      <c r="V27" s="42">
        <f>V28+V29</f>
        <v>45424.34</v>
      </c>
      <c r="W27" s="50">
        <f>W28+W29+W30+W31</f>
        <v>60475.97</v>
      </c>
      <c r="X27" s="41">
        <f t="shared" si="10"/>
        <v>133.13560527241563</v>
      </c>
      <c r="Y27" s="42">
        <f>Y28+Y29</f>
        <v>38073.140000000007</v>
      </c>
      <c r="Z27" s="42">
        <f>Z28+Z29</f>
        <v>34977.96</v>
      </c>
      <c r="AA27" s="41">
        <f t="shared" si="11"/>
        <v>91.870436743594013</v>
      </c>
      <c r="AB27" s="42">
        <f>AB28+AB29</f>
        <v>38350.340000000004</v>
      </c>
      <c r="AC27" s="40">
        <f>AC28+AC29</f>
        <v>0</v>
      </c>
      <c r="AD27" s="41">
        <f t="shared" si="12"/>
        <v>0</v>
      </c>
      <c r="AE27" s="42">
        <f>AE28+AE29</f>
        <v>33948.44</v>
      </c>
      <c r="AF27" s="42">
        <f>AF28+AF29</f>
        <v>0</v>
      </c>
      <c r="AG27" s="41">
        <f t="shared" si="13"/>
        <v>0</v>
      </c>
      <c r="AH27" s="42">
        <f>AH28+AH29</f>
        <v>31320.44</v>
      </c>
      <c r="AI27" s="42">
        <f>AI28+AI29</f>
        <v>0</v>
      </c>
      <c r="AJ27" s="41">
        <f t="shared" si="14"/>
        <v>0</v>
      </c>
      <c r="AK27" s="42">
        <f>AK28+AK29</f>
        <v>32213.34</v>
      </c>
      <c r="AL27" s="42">
        <f>AL28+AL29</f>
        <v>0</v>
      </c>
      <c r="AM27" s="41">
        <f t="shared" si="15"/>
        <v>0</v>
      </c>
      <c r="AN27" s="95">
        <f>AN28+AN29</f>
        <v>28510.510000000002</v>
      </c>
      <c r="AO27" s="42">
        <v>0</v>
      </c>
      <c r="AP27" s="42">
        <v>0</v>
      </c>
      <c r="AQ27" s="19"/>
      <c r="AR27" s="88"/>
      <c r="AS27" s="83" t="s">
        <v>37</v>
      </c>
      <c r="AT27" s="84">
        <f>AT28+AT29+AT30+AT31</f>
        <v>405529.85</v>
      </c>
      <c r="AU27" s="85">
        <f>AT27-D27</f>
        <v>0</v>
      </c>
      <c r="AV27" s="86">
        <f>AV28+AV29+AV30+AV31</f>
        <v>241702.82</v>
      </c>
      <c r="AW27" s="87">
        <f>AV27-E27</f>
        <v>0</v>
      </c>
      <c r="AX27" s="153" t="s">
        <v>100</v>
      </c>
      <c r="AY27" s="24" t="s">
        <v>21</v>
      </c>
    </row>
    <row r="28" spans="1:51" ht="26.25" customHeight="1" x14ac:dyDescent="0.25">
      <c r="A28" s="168"/>
      <c r="B28" s="154"/>
      <c r="C28" s="18" t="s">
        <v>22</v>
      </c>
      <c r="D28" s="52">
        <f>G28+J28+M28+P28+S28+V28+Y28+AB28+AE28+AH28+AK28+AN28</f>
        <v>405529.85000000003</v>
      </c>
      <c r="E28" s="51">
        <f>H28+K28+N28+Q28+T28+W28+Z28+AC28+AF28+AI28+AL28+AO28</f>
        <v>241702.82</v>
      </c>
      <c r="F28" s="33">
        <v>0</v>
      </c>
      <c r="G28" s="38">
        <v>13280.8</v>
      </c>
      <c r="H28" s="33">
        <v>19047.900000000001</v>
      </c>
      <c r="I28" s="35">
        <f>H28/G28*100</f>
        <v>143.42434190711404</v>
      </c>
      <c r="J28" s="38">
        <f>32638.8-3</f>
        <v>32635.8</v>
      </c>
      <c r="K28" s="35">
        <v>21818.799999999999</v>
      </c>
      <c r="L28" s="35">
        <v>0</v>
      </c>
      <c r="M28" s="38">
        <v>35797.5</v>
      </c>
      <c r="N28" s="33">
        <v>30671.88</v>
      </c>
      <c r="O28" s="35">
        <v>0</v>
      </c>
      <c r="P28" s="38">
        <f>33901.7+361.2</f>
        <v>34262.899999999994</v>
      </c>
      <c r="Q28" s="33">
        <v>44236.71</v>
      </c>
      <c r="R28" s="36">
        <f t="shared" si="8"/>
        <v>129.10964921241344</v>
      </c>
      <c r="S28" s="38">
        <f>41351.1+361.2</f>
        <v>41712.299999999996</v>
      </c>
      <c r="T28" s="33">
        <v>30473.599999999999</v>
      </c>
      <c r="U28" s="35">
        <f t="shared" si="9"/>
        <v>73.056628380597573</v>
      </c>
      <c r="V28" s="145">
        <v>45424.34</v>
      </c>
      <c r="W28" s="147">
        <v>60475.97</v>
      </c>
      <c r="X28" s="35">
        <v>0</v>
      </c>
      <c r="Y28" s="38">
        <f>37694.3+361.23+17.61</f>
        <v>38073.140000000007</v>
      </c>
      <c r="Z28" s="33">
        <v>34977.96</v>
      </c>
      <c r="AA28" s="35">
        <f t="shared" si="11"/>
        <v>91.870436743594013</v>
      </c>
      <c r="AB28" s="38">
        <f>37971.5+361.23+17.61</f>
        <v>38350.340000000004</v>
      </c>
      <c r="AC28" s="39">
        <v>0</v>
      </c>
      <c r="AD28" s="35">
        <v>0</v>
      </c>
      <c r="AE28" s="38">
        <f>33569.6+361.23+17.61</f>
        <v>33948.44</v>
      </c>
      <c r="AF28" s="39">
        <v>0</v>
      </c>
      <c r="AG28" s="35">
        <v>0</v>
      </c>
      <c r="AH28" s="38">
        <f>30941.6+361.23+17.61</f>
        <v>31320.44</v>
      </c>
      <c r="AI28" s="39">
        <v>0</v>
      </c>
      <c r="AJ28" s="35">
        <v>0</v>
      </c>
      <c r="AK28" s="38">
        <f>31834.5+361.23+17.61</f>
        <v>32213.34</v>
      </c>
      <c r="AL28" s="39">
        <v>0</v>
      </c>
      <c r="AM28" s="35">
        <v>0</v>
      </c>
      <c r="AN28" s="93">
        <f>28131.7+361.23+17.58</f>
        <v>28510.510000000002</v>
      </c>
      <c r="AO28" s="39">
        <v>0</v>
      </c>
      <c r="AP28" s="89">
        <v>0</v>
      </c>
      <c r="AQ28" s="22"/>
      <c r="AR28" s="10"/>
      <c r="AS28" s="62" t="s">
        <v>38</v>
      </c>
      <c r="AT28" s="141">
        <v>405529.85</v>
      </c>
      <c r="AU28" s="59">
        <f t="shared" si="3"/>
        <v>0</v>
      </c>
      <c r="AV28" s="142">
        <v>241702.82</v>
      </c>
      <c r="AW28" s="61">
        <f>AV28-E28</f>
        <v>0</v>
      </c>
      <c r="AX28" s="154"/>
      <c r="AY28" s="18" t="s">
        <v>22</v>
      </c>
    </row>
    <row r="29" spans="1:51" ht="26.25" customHeight="1" x14ac:dyDescent="0.25">
      <c r="A29" s="168"/>
      <c r="B29" s="154"/>
      <c r="C29" s="21" t="s">
        <v>23</v>
      </c>
      <c r="D29" s="52">
        <f>G29+J29+M29+P29+S29+V29+Y29+AB29+AE29+AH29+AK29+AN29</f>
        <v>0</v>
      </c>
      <c r="E29" s="51">
        <f t="shared" si="1"/>
        <v>0</v>
      </c>
      <c r="F29" s="33" t="e">
        <f t="shared" si="2"/>
        <v>#DIV/0!</v>
      </c>
      <c r="G29" s="38">
        <v>0</v>
      </c>
      <c r="H29" s="33">
        <v>0</v>
      </c>
      <c r="I29" s="35" t="e">
        <f t="shared" si="19"/>
        <v>#DIV/0!</v>
      </c>
      <c r="J29" s="38">
        <v>0</v>
      </c>
      <c r="K29" s="35">
        <v>0</v>
      </c>
      <c r="L29" s="35" t="e">
        <f t="shared" si="6"/>
        <v>#DIV/0!</v>
      </c>
      <c r="M29" s="38">
        <v>0</v>
      </c>
      <c r="N29" s="39">
        <v>0</v>
      </c>
      <c r="O29" s="35" t="e">
        <f t="shared" si="7"/>
        <v>#DIV/0!</v>
      </c>
      <c r="P29" s="38">
        <v>0</v>
      </c>
      <c r="Q29" s="39">
        <v>0</v>
      </c>
      <c r="R29" s="36" t="e">
        <f t="shared" si="8"/>
        <v>#DIV/0!</v>
      </c>
      <c r="S29" s="38">
        <v>0</v>
      </c>
      <c r="T29" s="39">
        <v>0</v>
      </c>
      <c r="U29" s="35" t="e">
        <f t="shared" si="9"/>
        <v>#DIV/0!</v>
      </c>
      <c r="V29" s="38">
        <v>0</v>
      </c>
      <c r="W29" s="48">
        <v>0</v>
      </c>
      <c r="X29" s="35" t="e">
        <f t="shared" si="10"/>
        <v>#DIV/0!</v>
      </c>
      <c r="Y29" s="38">
        <v>0</v>
      </c>
      <c r="Z29" s="39">
        <v>0</v>
      </c>
      <c r="AA29" s="35" t="e">
        <f t="shared" si="11"/>
        <v>#DIV/0!</v>
      </c>
      <c r="AB29" s="38">
        <v>0</v>
      </c>
      <c r="AC29" s="39">
        <v>0</v>
      </c>
      <c r="AD29" s="35" t="e">
        <f t="shared" si="12"/>
        <v>#DIV/0!</v>
      </c>
      <c r="AE29" s="38">
        <v>0</v>
      </c>
      <c r="AF29" s="39">
        <v>0</v>
      </c>
      <c r="AG29" s="35" t="e">
        <f t="shared" si="13"/>
        <v>#DIV/0!</v>
      </c>
      <c r="AH29" s="38">
        <v>0</v>
      </c>
      <c r="AI29" s="39">
        <v>0</v>
      </c>
      <c r="AJ29" s="35">
        <v>0</v>
      </c>
      <c r="AK29" s="38">
        <v>0</v>
      </c>
      <c r="AL29" s="39">
        <v>0</v>
      </c>
      <c r="AM29" s="35" t="e">
        <f t="shared" si="15"/>
        <v>#DIV/0!</v>
      </c>
      <c r="AN29" s="93">
        <v>0</v>
      </c>
      <c r="AO29" s="39">
        <v>0</v>
      </c>
      <c r="AP29" s="89">
        <v>0</v>
      </c>
      <c r="AQ29" s="23"/>
      <c r="AR29" s="10"/>
      <c r="AS29" s="62" t="s">
        <v>39</v>
      </c>
      <c r="AT29" s="143">
        <v>0</v>
      </c>
      <c r="AU29" s="59">
        <f>AT29-D29</f>
        <v>0</v>
      </c>
      <c r="AV29" s="144">
        <v>0</v>
      </c>
      <c r="AW29" s="61">
        <f t="shared" si="4"/>
        <v>0</v>
      </c>
      <c r="AX29" s="154"/>
      <c r="AY29" s="21" t="s">
        <v>23</v>
      </c>
    </row>
    <row r="30" spans="1:51" ht="26.25" customHeight="1" x14ac:dyDescent="0.25">
      <c r="A30" s="168"/>
      <c r="B30" s="154"/>
      <c r="C30" s="21" t="s">
        <v>24</v>
      </c>
      <c r="D30" s="52">
        <f t="shared" ref="D30:D31" si="20">G30+J30+M30+P30+S30+V30+Y30+AB30+AE30+AH30+AK30+AN30</f>
        <v>0</v>
      </c>
      <c r="E30" s="51">
        <f t="shared" si="1"/>
        <v>0</v>
      </c>
      <c r="F30" s="33">
        <v>0</v>
      </c>
      <c r="G30" s="38">
        <v>0</v>
      </c>
      <c r="H30" s="33">
        <v>0</v>
      </c>
      <c r="I30" s="35">
        <v>0</v>
      </c>
      <c r="J30" s="38">
        <v>0</v>
      </c>
      <c r="K30" s="35">
        <v>0</v>
      </c>
      <c r="L30" s="35">
        <v>0</v>
      </c>
      <c r="M30" s="38">
        <v>0</v>
      </c>
      <c r="N30" s="39">
        <v>0</v>
      </c>
      <c r="O30" s="35">
        <v>0</v>
      </c>
      <c r="P30" s="38">
        <v>0</v>
      </c>
      <c r="Q30" s="39">
        <v>0</v>
      </c>
      <c r="R30" s="36">
        <v>0</v>
      </c>
      <c r="S30" s="38">
        <v>0</v>
      </c>
      <c r="T30" s="39">
        <v>0</v>
      </c>
      <c r="U30" s="35">
        <v>0</v>
      </c>
      <c r="V30" s="38">
        <v>0</v>
      </c>
      <c r="W30" s="48">
        <v>0</v>
      </c>
      <c r="X30" s="35">
        <v>0</v>
      </c>
      <c r="Y30" s="38">
        <v>0</v>
      </c>
      <c r="Z30" s="39">
        <v>0</v>
      </c>
      <c r="AA30" s="35">
        <v>0</v>
      </c>
      <c r="AB30" s="38">
        <v>0</v>
      </c>
      <c r="AC30" s="96">
        <v>0</v>
      </c>
      <c r="AD30" s="35">
        <v>0</v>
      </c>
      <c r="AE30" s="38">
        <v>0</v>
      </c>
      <c r="AF30" s="39">
        <v>0</v>
      </c>
      <c r="AG30" s="35">
        <v>0</v>
      </c>
      <c r="AH30" s="38">
        <v>0</v>
      </c>
      <c r="AI30" s="39">
        <v>0</v>
      </c>
      <c r="AJ30" s="35">
        <v>0</v>
      </c>
      <c r="AK30" s="38">
        <v>0</v>
      </c>
      <c r="AL30" s="39">
        <v>0</v>
      </c>
      <c r="AM30" s="35">
        <v>0</v>
      </c>
      <c r="AN30" s="93">
        <v>0</v>
      </c>
      <c r="AO30" s="39">
        <v>0</v>
      </c>
      <c r="AP30" s="39">
        <v>0</v>
      </c>
      <c r="AQ30" s="23"/>
      <c r="AR30" s="10"/>
      <c r="AS30" s="62" t="s">
        <v>40</v>
      </c>
      <c r="AT30" s="63">
        <v>0</v>
      </c>
      <c r="AU30" s="59">
        <f t="shared" si="3"/>
        <v>0</v>
      </c>
      <c r="AV30" s="64">
        <v>0</v>
      </c>
      <c r="AW30" s="61">
        <f t="shared" si="4"/>
        <v>0</v>
      </c>
      <c r="AX30" s="154"/>
      <c r="AY30" s="21" t="s">
        <v>24</v>
      </c>
    </row>
    <row r="31" spans="1:51" ht="26.25" customHeight="1" x14ac:dyDescent="0.25">
      <c r="A31" s="169"/>
      <c r="B31" s="155"/>
      <c r="C31" s="18" t="s">
        <v>25</v>
      </c>
      <c r="D31" s="52">
        <f t="shared" si="20"/>
        <v>0</v>
      </c>
      <c r="E31" s="51">
        <f t="shared" si="1"/>
        <v>0</v>
      </c>
      <c r="F31" s="33">
        <v>0</v>
      </c>
      <c r="G31" s="38">
        <v>0</v>
      </c>
      <c r="H31" s="33">
        <v>0</v>
      </c>
      <c r="I31" s="35">
        <v>0</v>
      </c>
      <c r="J31" s="38">
        <v>0</v>
      </c>
      <c r="K31" s="35">
        <v>0</v>
      </c>
      <c r="L31" s="35">
        <v>0</v>
      </c>
      <c r="M31" s="38">
        <v>0</v>
      </c>
      <c r="N31" s="39">
        <v>0</v>
      </c>
      <c r="O31" s="35">
        <v>0</v>
      </c>
      <c r="P31" s="38">
        <v>0</v>
      </c>
      <c r="Q31" s="39">
        <v>0</v>
      </c>
      <c r="R31" s="36">
        <v>0</v>
      </c>
      <c r="S31" s="38">
        <v>0</v>
      </c>
      <c r="T31" s="39">
        <v>0</v>
      </c>
      <c r="U31" s="35">
        <v>0</v>
      </c>
      <c r="V31" s="38">
        <v>0</v>
      </c>
      <c r="W31" s="48">
        <v>0</v>
      </c>
      <c r="X31" s="35">
        <v>0</v>
      </c>
      <c r="Y31" s="38">
        <v>0</v>
      </c>
      <c r="Z31" s="39">
        <v>0</v>
      </c>
      <c r="AA31" s="35">
        <v>0</v>
      </c>
      <c r="AB31" s="93">
        <v>0</v>
      </c>
      <c r="AC31" s="39">
        <v>0</v>
      </c>
      <c r="AD31" s="35">
        <v>0</v>
      </c>
      <c r="AE31" s="38">
        <v>0</v>
      </c>
      <c r="AF31" s="39">
        <v>0</v>
      </c>
      <c r="AG31" s="35">
        <v>0</v>
      </c>
      <c r="AH31" s="38">
        <v>0</v>
      </c>
      <c r="AI31" s="39">
        <v>0</v>
      </c>
      <c r="AJ31" s="35">
        <v>0</v>
      </c>
      <c r="AK31" s="38">
        <v>0</v>
      </c>
      <c r="AL31" s="39">
        <v>0</v>
      </c>
      <c r="AM31" s="35">
        <v>0</v>
      </c>
      <c r="AN31" s="38">
        <v>0</v>
      </c>
      <c r="AO31" s="39">
        <v>0</v>
      </c>
      <c r="AP31" s="39">
        <v>0</v>
      </c>
      <c r="AQ31" s="23"/>
      <c r="AR31" s="10"/>
      <c r="AS31" s="57" t="s">
        <v>41</v>
      </c>
      <c r="AT31" s="64">
        <v>0</v>
      </c>
      <c r="AU31" s="59">
        <f t="shared" si="3"/>
        <v>0</v>
      </c>
      <c r="AV31" s="64">
        <v>0</v>
      </c>
      <c r="AW31" s="61">
        <f t="shared" si="4"/>
        <v>0</v>
      </c>
      <c r="AX31" s="155"/>
      <c r="AY31" s="18" t="s">
        <v>25</v>
      </c>
    </row>
    <row r="32" spans="1:51" ht="15.75" x14ac:dyDescent="0.25">
      <c r="A32" s="3"/>
      <c r="B32" s="139"/>
      <c r="C32" s="138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7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7"/>
      <c r="AO32" s="27"/>
      <c r="AP32" s="28"/>
      <c r="AQ32" s="28"/>
      <c r="AR32" s="3"/>
      <c r="AS32" s="55"/>
      <c r="AT32" s="55"/>
      <c r="AU32" s="55"/>
      <c r="AV32" s="55"/>
      <c r="AW32" s="65"/>
      <c r="AX32" s="3"/>
      <c r="AY32" s="3"/>
    </row>
    <row r="33" spans="1:51" x14ac:dyDescent="0.25">
      <c r="A33" s="3"/>
      <c r="B33" s="170" t="s">
        <v>107</v>
      </c>
      <c r="C33" s="170"/>
      <c r="D33" s="170"/>
      <c r="E33" s="170"/>
      <c r="F33" s="170"/>
      <c r="G33" s="170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7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7"/>
      <c r="AO33" s="27"/>
      <c r="AP33" s="28"/>
      <c r="AQ33" s="28"/>
      <c r="AR33" s="3"/>
      <c r="AS33" s="248" t="s">
        <v>105</v>
      </c>
      <c r="AT33" s="249"/>
      <c r="AU33" s="249"/>
      <c r="AV33" s="249"/>
      <c r="AW33" s="249"/>
      <c r="AX33" s="249"/>
      <c r="AY33" s="3"/>
    </row>
    <row r="34" spans="1:51" ht="32.25" customHeight="1" x14ac:dyDescent="0.25">
      <c r="A34" s="3"/>
      <c r="B34" s="166" t="s">
        <v>103</v>
      </c>
      <c r="C34" s="166"/>
      <c r="D34" s="166"/>
      <c r="E34" s="166"/>
      <c r="F34" s="166"/>
      <c r="G34" s="166"/>
      <c r="H34" s="166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7"/>
      <c r="AP34" s="28"/>
      <c r="AQ34" s="28"/>
      <c r="AR34" s="3"/>
      <c r="AS34" s="249"/>
      <c r="AT34" s="249"/>
      <c r="AU34" s="249"/>
      <c r="AV34" s="249"/>
      <c r="AW34" s="249"/>
      <c r="AX34" s="249"/>
      <c r="AY34" s="3"/>
    </row>
    <row r="35" spans="1:51" x14ac:dyDescent="0.25">
      <c r="B35" t="s">
        <v>104</v>
      </c>
      <c r="G35" s="45"/>
      <c r="M35" s="45"/>
    </row>
    <row r="36" spans="1:51" x14ac:dyDescent="0.25">
      <c r="AS36" s="246" t="s">
        <v>106</v>
      </c>
      <c r="AT36" s="246"/>
      <c r="AU36" s="246"/>
      <c r="AV36" s="246"/>
      <c r="AW36" s="246"/>
      <c r="AX36" s="246"/>
    </row>
    <row r="37" spans="1:51" x14ac:dyDescent="0.25">
      <c r="AS37" s="246"/>
      <c r="AT37" s="246"/>
      <c r="AU37" s="246"/>
      <c r="AV37" s="246"/>
      <c r="AW37" s="246"/>
      <c r="AX37" s="246"/>
    </row>
  </sheetData>
  <mergeCells count="46">
    <mergeCell ref="B34:H34"/>
    <mergeCell ref="A22:A26"/>
    <mergeCell ref="B22:B26"/>
    <mergeCell ref="AX22:AX26"/>
    <mergeCell ref="A27:A31"/>
    <mergeCell ref="B27:B31"/>
    <mergeCell ref="AX27:AX31"/>
    <mergeCell ref="AS33:AX34"/>
    <mergeCell ref="B33:G33"/>
    <mergeCell ref="A17:A21"/>
    <mergeCell ref="B17:B21"/>
    <mergeCell ref="AX17:AX21"/>
    <mergeCell ref="AK10:AM10"/>
    <mergeCell ref="AN10:AP10"/>
    <mergeCell ref="AT10:AT11"/>
    <mergeCell ref="AU10:AU11"/>
    <mergeCell ref="AV10:AV11"/>
    <mergeCell ref="AW10:AW11"/>
    <mergeCell ref="S10:U10"/>
    <mergeCell ref="V10:X10"/>
    <mergeCell ref="AX10:AX11"/>
    <mergeCell ref="AY10:AY11"/>
    <mergeCell ref="A12:A16"/>
    <mergeCell ref="B12:B16"/>
    <mergeCell ref="AX12:AX16"/>
    <mergeCell ref="A10:A11"/>
    <mergeCell ref="B10:B11"/>
    <mergeCell ref="C10:C11"/>
    <mergeCell ref="D10:F10"/>
    <mergeCell ref="G10:I10"/>
    <mergeCell ref="AS36:AX37"/>
    <mergeCell ref="E6:Y6"/>
    <mergeCell ref="D1:O1"/>
    <mergeCell ref="AL1:AP1"/>
    <mergeCell ref="Z2:AP2"/>
    <mergeCell ref="AL3:AP3"/>
    <mergeCell ref="E5:Y5"/>
    <mergeCell ref="E7:Y7"/>
    <mergeCell ref="AL9:AP9"/>
    <mergeCell ref="J10:L10"/>
    <mergeCell ref="M10:O10"/>
    <mergeCell ref="P10:R10"/>
    <mergeCell ref="Y10:AA10"/>
    <mergeCell ref="AB10:AD10"/>
    <mergeCell ref="AE10:AG10"/>
    <mergeCell ref="AH10:AJ10"/>
  </mergeCells>
  <printOptions horizontalCentered="1"/>
  <pageMargins left="0.70866141732283461" right="0.70866141732283461" top="0.74803149606299213" bottom="0.74803149606299213" header="0.31496062992125984" footer="0.31496062992125984"/>
  <pageSetup scale="53" fitToWidth="0" orientation="landscape" r:id="rId1"/>
  <colBreaks count="2" manualBreakCount="2">
    <brk id="21" max="1048575" man="1"/>
    <brk id="4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7"/>
  <sheetViews>
    <sheetView view="pageBreakPreview" zoomScale="70" zoomScaleNormal="100" zoomScaleSheetLayoutView="70" workbookViewId="0">
      <selection activeCell="G33" sqref="G33"/>
    </sheetView>
  </sheetViews>
  <sheetFormatPr defaultRowHeight="15" x14ac:dyDescent="0.25"/>
  <cols>
    <col min="1" max="1" width="4.5703125" customWidth="1"/>
    <col min="2" max="2" width="27.28515625" customWidth="1"/>
    <col min="3" max="3" width="9.28515625" customWidth="1"/>
    <col min="4" max="4" width="10.28515625" customWidth="1"/>
    <col min="5" max="5" width="10" customWidth="1"/>
    <col min="6" max="6" width="7.5703125" customWidth="1"/>
    <col min="7" max="8" width="9.28515625" customWidth="1"/>
    <col min="9" max="9" width="7.7109375" customWidth="1"/>
    <col min="10" max="10" width="9.28515625" customWidth="1"/>
    <col min="11" max="11" width="11.28515625" customWidth="1"/>
    <col min="12" max="12" width="8" customWidth="1"/>
    <col min="13" max="13" width="8.28515625" customWidth="1"/>
    <col min="14" max="14" width="8.5703125" style="32" customWidth="1"/>
    <col min="15" max="15" width="7.28515625" customWidth="1"/>
    <col min="16" max="17" width="9.28515625" style="32" customWidth="1"/>
    <col min="18" max="18" width="6.140625" style="32" customWidth="1"/>
    <col min="19" max="19" width="9.28515625" customWidth="1"/>
    <col min="20" max="20" width="9.28515625" style="32" customWidth="1"/>
    <col min="21" max="21" width="7.28515625" customWidth="1"/>
    <col min="22" max="22" width="10.85546875" customWidth="1"/>
    <col min="23" max="23" width="8.7109375" customWidth="1"/>
    <col min="24" max="24" width="5.7109375" customWidth="1"/>
    <col min="25" max="25" width="9.28515625" customWidth="1"/>
    <col min="26" max="26" width="8.28515625" customWidth="1"/>
    <col min="27" max="27" width="6" customWidth="1"/>
    <col min="28" max="28" width="8.42578125" customWidth="1"/>
    <col min="29" max="29" width="9.28515625" customWidth="1"/>
    <col min="30" max="30" width="5.7109375" customWidth="1"/>
    <col min="31" max="31" width="11.28515625" customWidth="1"/>
    <col min="32" max="32" width="7.28515625" customWidth="1"/>
    <col min="33" max="33" width="5.5703125" customWidth="1"/>
    <col min="34" max="34" width="10" customWidth="1"/>
    <col min="35" max="35" width="10.42578125" customWidth="1"/>
    <col min="36" max="36" width="5.7109375" customWidth="1"/>
    <col min="37" max="37" width="9.42578125" customWidth="1"/>
    <col min="38" max="38" width="10.28515625" customWidth="1"/>
    <col min="39" max="39" width="8.5703125" customWidth="1"/>
    <col min="40" max="40" width="8.140625" customWidth="1"/>
    <col min="41" max="41" width="6.140625" customWidth="1"/>
    <col min="42" max="42" width="6.5703125" customWidth="1"/>
    <col min="43" max="43" width="2.7109375" customWidth="1"/>
  </cols>
  <sheetData>
    <row r="1" spans="1:43" ht="15" customHeight="1" x14ac:dyDescent="0.25">
      <c r="A1" s="4"/>
      <c r="B1" s="97"/>
      <c r="C1" s="98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101"/>
      <c r="Q1" s="101"/>
      <c r="R1" s="8"/>
      <c r="S1" s="8"/>
      <c r="T1" s="8"/>
      <c r="U1" s="8"/>
      <c r="V1" s="8"/>
      <c r="W1" s="9"/>
      <c r="X1" s="8"/>
      <c r="Y1" s="8"/>
      <c r="Z1" s="9"/>
      <c r="AA1" s="189"/>
      <c r="AB1" s="190"/>
      <c r="AC1" s="190"/>
      <c r="AD1" s="190"/>
      <c r="AE1" s="190"/>
      <c r="AF1" s="190"/>
      <c r="AG1" s="190"/>
      <c r="AH1" s="190"/>
      <c r="AI1" s="189" t="s">
        <v>49</v>
      </c>
      <c r="AJ1" s="190"/>
      <c r="AK1" s="190"/>
      <c r="AL1" s="190"/>
      <c r="AM1" s="190"/>
      <c r="AN1" s="190"/>
      <c r="AO1" s="190"/>
      <c r="AP1" s="190"/>
      <c r="AQ1" s="4"/>
    </row>
    <row r="2" spans="1:43" x14ac:dyDescent="0.25">
      <c r="A2" s="4"/>
      <c r="B2" s="97"/>
      <c r="C2" s="98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1"/>
      <c r="Q2" s="101"/>
      <c r="R2" s="8"/>
      <c r="S2" s="8"/>
      <c r="T2" s="8"/>
      <c r="U2" s="8"/>
      <c r="V2" s="8"/>
      <c r="W2" s="9"/>
      <c r="X2" s="8"/>
      <c r="Y2" s="8"/>
      <c r="Z2" s="9"/>
      <c r="AA2" s="191" t="s">
        <v>50</v>
      </c>
      <c r="AB2" s="192"/>
      <c r="AC2" s="192"/>
      <c r="AD2" s="192"/>
      <c r="AE2" s="192"/>
      <c r="AF2" s="192"/>
      <c r="AG2" s="192"/>
      <c r="AH2" s="192"/>
      <c r="AI2" s="192"/>
      <c r="AJ2" s="192"/>
      <c r="AK2" s="192"/>
      <c r="AL2" s="192"/>
      <c r="AM2" s="192"/>
      <c r="AN2" s="192"/>
      <c r="AO2" s="192"/>
      <c r="AP2" s="192"/>
      <c r="AQ2" s="4"/>
    </row>
    <row r="3" spans="1:43" x14ac:dyDescent="0.25">
      <c r="A3" s="4"/>
      <c r="B3" s="97"/>
      <c r="C3" s="98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1"/>
      <c r="Q3" s="101"/>
      <c r="R3" s="8"/>
      <c r="S3" s="8"/>
      <c r="T3" s="8"/>
      <c r="U3" s="8"/>
      <c r="V3" s="8"/>
      <c r="W3" s="9"/>
      <c r="X3" s="8"/>
      <c r="Y3" s="8"/>
      <c r="Z3" s="9"/>
      <c r="AA3" s="103"/>
      <c r="AB3" s="103"/>
      <c r="AC3" s="103"/>
      <c r="AD3" s="103"/>
      <c r="AE3" s="191"/>
      <c r="AF3" s="192"/>
      <c r="AG3" s="192"/>
      <c r="AH3" s="192"/>
      <c r="AI3" s="103"/>
      <c r="AJ3" s="103"/>
      <c r="AK3" s="103"/>
      <c r="AL3" s="103"/>
      <c r="AM3" s="191" t="s">
        <v>51</v>
      </c>
      <c r="AN3" s="192"/>
      <c r="AO3" s="192"/>
      <c r="AP3" s="192"/>
      <c r="AQ3" s="4"/>
    </row>
    <row r="4" spans="1:43" x14ac:dyDescent="0.25">
      <c r="A4" s="4"/>
      <c r="B4" s="97"/>
      <c r="C4" s="98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1"/>
      <c r="Q4" s="101"/>
      <c r="R4" s="8"/>
      <c r="S4" s="8"/>
      <c r="T4" s="8"/>
      <c r="U4" s="8"/>
      <c r="V4" s="8"/>
      <c r="W4" s="9"/>
      <c r="X4" s="8"/>
      <c r="Y4" s="8"/>
      <c r="Z4" s="9"/>
      <c r="AA4" s="9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4"/>
      <c r="AQ4" s="4"/>
    </row>
    <row r="5" spans="1:43" ht="15.75" x14ac:dyDescent="0.25">
      <c r="A5" s="4"/>
      <c r="B5" s="97"/>
      <c r="C5" s="226" t="s">
        <v>46</v>
      </c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8"/>
      <c r="Y5" s="8"/>
      <c r="Z5" s="9"/>
      <c r="AA5" s="9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4"/>
      <c r="AQ5" s="4"/>
    </row>
    <row r="6" spans="1:43" ht="15.75" x14ac:dyDescent="0.25">
      <c r="A6" s="4"/>
      <c r="B6" s="97"/>
      <c r="C6" s="226" t="s">
        <v>47</v>
      </c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8"/>
      <c r="Y6" s="8"/>
      <c r="Z6" s="9"/>
      <c r="AA6" s="9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4"/>
      <c r="AQ6" s="4"/>
    </row>
    <row r="7" spans="1:43" ht="15.75" x14ac:dyDescent="0.25">
      <c r="A7" s="4"/>
      <c r="B7" s="97"/>
      <c r="C7" s="226" t="s">
        <v>48</v>
      </c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8"/>
      <c r="Y7" s="8"/>
      <c r="Z7" s="9"/>
      <c r="AA7" s="9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4"/>
      <c r="AQ7" s="4"/>
    </row>
    <row r="8" spans="1:43" x14ac:dyDescent="0.25">
      <c r="A8" s="4"/>
      <c r="B8" s="97"/>
      <c r="C8" s="98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1"/>
      <c r="Q8" s="101"/>
      <c r="R8" s="8"/>
      <c r="S8" s="8"/>
      <c r="T8" s="8"/>
      <c r="U8" s="8"/>
      <c r="V8" s="8"/>
      <c r="W8" s="9"/>
      <c r="X8" s="8"/>
      <c r="Y8" s="8"/>
      <c r="Z8" s="9"/>
      <c r="AA8" s="9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4"/>
      <c r="AQ8" s="4"/>
    </row>
    <row r="9" spans="1:43" x14ac:dyDescent="0.25">
      <c r="A9" s="4"/>
      <c r="B9" s="97"/>
      <c r="C9" s="98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1"/>
      <c r="Q9" s="101"/>
      <c r="R9" s="8"/>
      <c r="S9" s="8"/>
      <c r="T9" s="8"/>
      <c r="U9" s="8"/>
      <c r="V9" s="8"/>
      <c r="W9" s="9"/>
      <c r="X9" s="8"/>
      <c r="Y9" s="8"/>
      <c r="Z9" s="9"/>
      <c r="AA9" s="9"/>
      <c r="AB9" s="8"/>
      <c r="AC9" s="8"/>
      <c r="AD9" s="8"/>
      <c r="AE9" s="8"/>
      <c r="AF9" s="8"/>
      <c r="AG9" s="8"/>
      <c r="AH9" s="8"/>
      <c r="AI9" s="8"/>
      <c r="AJ9" s="8"/>
      <c r="AK9" s="8"/>
      <c r="AL9" s="218" t="s">
        <v>52</v>
      </c>
      <c r="AM9" s="219"/>
      <c r="AN9" s="219"/>
      <c r="AO9" s="219"/>
      <c r="AP9" s="219"/>
      <c r="AQ9" s="4"/>
    </row>
    <row r="10" spans="1:43" x14ac:dyDescent="0.25">
      <c r="A10" s="193" t="s">
        <v>0</v>
      </c>
      <c r="B10" s="164" t="s">
        <v>1</v>
      </c>
      <c r="C10" s="198" t="s">
        <v>2</v>
      </c>
      <c r="D10" s="201" t="s">
        <v>21</v>
      </c>
      <c r="E10" s="202"/>
      <c r="F10" s="203"/>
      <c r="G10" s="99"/>
      <c r="H10" s="99"/>
      <c r="I10" s="99"/>
      <c r="J10" s="99"/>
      <c r="K10" s="99"/>
      <c r="L10" s="99"/>
      <c r="M10" s="99"/>
      <c r="N10" s="99"/>
      <c r="O10" s="99"/>
      <c r="P10" s="100"/>
      <c r="Q10" s="100"/>
      <c r="R10" s="104"/>
      <c r="S10" s="104"/>
      <c r="T10" s="104"/>
      <c r="U10" s="104"/>
      <c r="V10" s="104"/>
      <c r="W10" s="105"/>
      <c r="X10" s="104"/>
      <c r="Y10" s="207" t="s">
        <v>55</v>
      </c>
      <c r="Z10" s="208"/>
      <c r="AA10" s="208"/>
      <c r="AB10" s="208"/>
      <c r="AC10" s="208"/>
      <c r="AD10" s="208"/>
      <c r="AE10" s="104"/>
      <c r="AF10" s="104"/>
      <c r="AG10" s="104"/>
      <c r="AH10" s="104"/>
      <c r="AI10" s="104"/>
      <c r="AJ10" s="104"/>
      <c r="AK10" s="104"/>
      <c r="AL10" s="210"/>
      <c r="AM10" s="210"/>
      <c r="AN10" s="210"/>
      <c r="AO10" s="210"/>
      <c r="AP10" s="211"/>
      <c r="AQ10" s="4"/>
    </row>
    <row r="11" spans="1:43" ht="15" customHeight="1" x14ac:dyDescent="0.25">
      <c r="A11" s="194"/>
      <c r="B11" s="196"/>
      <c r="C11" s="199"/>
      <c r="D11" s="204"/>
      <c r="E11" s="205"/>
      <c r="F11" s="206"/>
      <c r="G11" s="186" t="s">
        <v>3</v>
      </c>
      <c r="H11" s="187"/>
      <c r="I11" s="188"/>
      <c r="J11" s="186" t="s">
        <v>4</v>
      </c>
      <c r="K11" s="187"/>
      <c r="L11" s="188"/>
      <c r="M11" s="177" t="s">
        <v>5</v>
      </c>
      <c r="N11" s="178"/>
      <c r="O11" s="179"/>
      <c r="P11" s="177" t="s">
        <v>6</v>
      </c>
      <c r="Q11" s="178"/>
      <c r="R11" s="179"/>
      <c r="S11" s="177" t="s">
        <v>7</v>
      </c>
      <c r="T11" s="178"/>
      <c r="U11" s="179"/>
      <c r="V11" s="220" t="s">
        <v>8</v>
      </c>
      <c r="W11" s="221"/>
      <c r="X11" s="222"/>
      <c r="Y11" s="177" t="s">
        <v>9</v>
      </c>
      <c r="Z11" s="178"/>
      <c r="AA11" s="179"/>
      <c r="AB11" s="223" t="s">
        <v>10</v>
      </c>
      <c r="AC11" s="224"/>
      <c r="AD11" s="225"/>
      <c r="AE11" s="223" t="s">
        <v>11</v>
      </c>
      <c r="AF11" s="224"/>
      <c r="AG11" s="225"/>
      <c r="AH11" s="212" t="s">
        <v>12</v>
      </c>
      <c r="AI11" s="213"/>
      <c r="AJ11" s="214"/>
      <c r="AK11" s="177" t="s">
        <v>13</v>
      </c>
      <c r="AL11" s="178"/>
      <c r="AM11" s="179"/>
      <c r="AN11" s="215" t="s">
        <v>14</v>
      </c>
      <c r="AO11" s="216"/>
      <c r="AP11" s="217"/>
      <c r="AQ11" s="10"/>
    </row>
    <row r="12" spans="1:43" ht="36" x14ac:dyDescent="0.25">
      <c r="A12" s="195"/>
      <c r="B12" s="197"/>
      <c r="C12" s="200"/>
      <c r="D12" s="11" t="s">
        <v>53</v>
      </c>
      <c r="E12" s="107" t="s">
        <v>54</v>
      </c>
      <c r="F12" s="12" t="s">
        <v>17</v>
      </c>
      <c r="G12" s="13" t="s">
        <v>18</v>
      </c>
      <c r="H12" s="73" t="s">
        <v>19</v>
      </c>
      <c r="I12" s="14" t="s">
        <v>17</v>
      </c>
      <c r="J12" s="13" t="s">
        <v>18</v>
      </c>
      <c r="K12" s="73" t="s">
        <v>19</v>
      </c>
      <c r="L12" s="14" t="s">
        <v>17</v>
      </c>
      <c r="M12" s="13" t="s">
        <v>18</v>
      </c>
      <c r="N12" s="72" t="s">
        <v>19</v>
      </c>
      <c r="O12" s="14" t="s">
        <v>17</v>
      </c>
      <c r="P12" s="13" t="s">
        <v>18</v>
      </c>
      <c r="Q12" s="72" t="s">
        <v>19</v>
      </c>
      <c r="R12" s="72" t="s">
        <v>17</v>
      </c>
      <c r="S12" s="13" t="s">
        <v>18</v>
      </c>
      <c r="T12" s="72" t="s">
        <v>19</v>
      </c>
      <c r="U12" s="14" t="s">
        <v>17</v>
      </c>
      <c r="V12" s="13" t="s">
        <v>18</v>
      </c>
      <c r="W12" s="72" t="s">
        <v>19</v>
      </c>
      <c r="X12" s="14" t="s">
        <v>17</v>
      </c>
      <c r="Y12" s="13" t="s">
        <v>18</v>
      </c>
      <c r="Z12" s="72" t="s">
        <v>19</v>
      </c>
      <c r="AA12" s="73" t="s">
        <v>17</v>
      </c>
      <c r="AB12" s="13" t="s">
        <v>18</v>
      </c>
      <c r="AC12" s="72" t="s">
        <v>19</v>
      </c>
      <c r="AD12" s="14" t="s">
        <v>17</v>
      </c>
      <c r="AE12" s="13" t="s">
        <v>18</v>
      </c>
      <c r="AF12" s="72" t="s">
        <v>19</v>
      </c>
      <c r="AG12" s="14" t="s">
        <v>17</v>
      </c>
      <c r="AH12" s="13" t="s">
        <v>18</v>
      </c>
      <c r="AI12" s="72" t="s">
        <v>19</v>
      </c>
      <c r="AJ12" s="14" t="s">
        <v>17</v>
      </c>
      <c r="AK12" s="13" t="s">
        <v>18</v>
      </c>
      <c r="AL12" s="72" t="s">
        <v>19</v>
      </c>
      <c r="AM12" s="14" t="s">
        <v>17</v>
      </c>
      <c r="AN12" s="15" t="s">
        <v>18</v>
      </c>
      <c r="AO12" s="72" t="s">
        <v>19</v>
      </c>
      <c r="AP12" s="16" t="s">
        <v>17</v>
      </c>
      <c r="AQ12" s="10"/>
    </row>
    <row r="13" spans="1:43" x14ac:dyDescent="0.25">
      <c r="A13" s="116" t="s">
        <v>56</v>
      </c>
      <c r="B13" s="117">
        <v>2</v>
      </c>
      <c r="C13" s="108">
        <v>3</v>
      </c>
      <c r="D13" s="109">
        <v>4</v>
      </c>
      <c r="E13" s="110">
        <v>5</v>
      </c>
      <c r="F13" s="111">
        <v>6</v>
      </c>
      <c r="G13" s="112">
        <v>7</v>
      </c>
      <c r="H13" s="113" t="s">
        <v>57</v>
      </c>
      <c r="I13" s="114" t="s">
        <v>58</v>
      </c>
      <c r="J13" s="112" t="s">
        <v>59</v>
      </c>
      <c r="K13" s="113" t="s">
        <v>60</v>
      </c>
      <c r="L13" s="114" t="s">
        <v>61</v>
      </c>
      <c r="M13" s="112" t="s">
        <v>62</v>
      </c>
      <c r="N13" s="110" t="s">
        <v>63</v>
      </c>
      <c r="O13" s="114" t="s">
        <v>64</v>
      </c>
      <c r="P13" s="112" t="s">
        <v>65</v>
      </c>
      <c r="Q13" s="110" t="s">
        <v>66</v>
      </c>
      <c r="R13" s="110" t="s">
        <v>67</v>
      </c>
      <c r="S13" s="112" t="s">
        <v>68</v>
      </c>
      <c r="T13" s="110" t="s">
        <v>69</v>
      </c>
      <c r="U13" s="114" t="s">
        <v>70</v>
      </c>
      <c r="V13" s="112" t="s">
        <v>71</v>
      </c>
      <c r="W13" s="110" t="s">
        <v>72</v>
      </c>
      <c r="X13" s="114" t="s">
        <v>73</v>
      </c>
      <c r="Y13" s="112" t="s">
        <v>74</v>
      </c>
      <c r="Z13" s="110" t="s">
        <v>75</v>
      </c>
      <c r="AA13" s="113" t="s">
        <v>76</v>
      </c>
      <c r="AB13" s="112" t="s">
        <v>77</v>
      </c>
      <c r="AC13" s="110" t="s">
        <v>78</v>
      </c>
      <c r="AD13" s="114" t="s">
        <v>79</v>
      </c>
      <c r="AE13" s="112" t="s">
        <v>80</v>
      </c>
      <c r="AF13" s="110" t="s">
        <v>81</v>
      </c>
      <c r="AG13" s="114" t="s">
        <v>82</v>
      </c>
      <c r="AH13" s="112" t="s">
        <v>83</v>
      </c>
      <c r="AI13" s="110" t="s">
        <v>84</v>
      </c>
      <c r="AJ13" s="114" t="s">
        <v>85</v>
      </c>
      <c r="AK13" s="112" t="s">
        <v>86</v>
      </c>
      <c r="AL13" s="110" t="s">
        <v>87</v>
      </c>
      <c r="AM13" s="114" t="s">
        <v>88</v>
      </c>
      <c r="AN13" s="115" t="s">
        <v>89</v>
      </c>
      <c r="AO13" s="110" t="s">
        <v>90</v>
      </c>
      <c r="AP13" s="114" t="s">
        <v>91</v>
      </c>
      <c r="AQ13" s="10"/>
    </row>
    <row r="14" spans="1:43" ht="28.5" customHeight="1" x14ac:dyDescent="0.25">
      <c r="A14" s="171"/>
      <c r="B14" s="150" t="s">
        <v>98</v>
      </c>
      <c r="C14" s="18" t="s">
        <v>21</v>
      </c>
      <c r="D14" s="51">
        <f>G14+J14+M14+P14+S14+V14+Y14+AB14+AE14+AH14+AK14+AN14</f>
        <v>415765.2</v>
      </c>
      <c r="E14" s="48">
        <f>H14+K14+N14+Q14+T14+W14+Z14+AC14+AF14+AI14+AL14+AO14</f>
        <v>19</v>
      </c>
      <c r="F14" s="33">
        <f>E14/D14*100</f>
        <v>4.5698870420131359E-3</v>
      </c>
      <c r="G14" s="34">
        <f>G19+G24+G29</f>
        <v>13280.8</v>
      </c>
      <c r="H14" s="35">
        <f t="shared" ref="H14:AP17" si="0">H19+H24+H29</f>
        <v>19</v>
      </c>
      <c r="I14" s="34" t="e">
        <f t="shared" si="0"/>
        <v>#DIV/0!</v>
      </c>
      <c r="J14" s="34">
        <f t="shared" si="0"/>
        <v>32912.5</v>
      </c>
      <c r="K14" s="35">
        <f t="shared" si="0"/>
        <v>0</v>
      </c>
      <c r="L14" s="34" t="e">
        <f t="shared" si="0"/>
        <v>#DIV/0!</v>
      </c>
      <c r="M14" s="34">
        <f t="shared" si="0"/>
        <v>36868.1</v>
      </c>
      <c r="N14" s="36">
        <f t="shared" si="0"/>
        <v>0</v>
      </c>
      <c r="O14" s="34">
        <f t="shared" si="0"/>
        <v>0</v>
      </c>
      <c r="P14" s="34">
        <f t="shared" si="0"/>
        <v>34475.299999999996</v>
      </c>
      <c r="Q14" s="36">
        <f t="shared" si="0"/>
        <v>0</v>
      </c>
      <c r="R14" s="36">
        <f t="shared" si="0"/>
        <v>0</v>
      </c>
      <c r="S14" s="34">
        <f t="shared" si="0"/>
        <v>45564.3</v>
      </c>
      <c r="T14" s="36">
        <f t="shared" si="0"/>
        <v>0</v>
      </c>
      <c r="U14" s="34">
        <f t="shared" si="0"/>
        <v>0</v>
      </c>
      <c r="V14" s="34">
        <f t="shared" si="0"/>
        <v>47875.899999999994</v>
      </c>
      <c r="W14" s="46">
        <f>W15+W16+W17+W18</f>
        <v>0</v>
      </c>
      <c r="X14" s="34">
        <f t="shared" si="0"/>
        <v>0</v>
      </c>
      <c r="Y14" s="34">
        <f t="shared" si="0"/>
        <v>39916.300000000003</v>
      </c>
      <c r="Z14" s="34">
        <f t="shared" si="0"/>
        <v>0</v>
      </c>
      <c r="AA14" s="34">
        <f t="shared" si="0"/>
        <v>0</v>
      </c>
      <c r="AB14" s="34">
        <f t="shared" si="0"/>
        <v>38991</v>
      </c>
      <c r="AC14" s="34">
        <f t="shared" si="0"/>
        <v>0</v>
      </c>
      <c r="AD14" s="34">
        <f t="shared" si="0"/>
        <v>0</v>
      </c>
      <c r="AE14" s="34">
        <f t="shared" si="0"/>
        <v>34181.599999999999</v>
      </c>
      <c r="AF14" s="34">
        <f t="shared" si="0"/>
        <v>0</v>
      </c>
      <c r="AG14" s="34">
        <f t="shared" si="0"/>
        <v>0</v>
      </c>
      <c r="AH14" s="34">
        <f t="shared" si="0"/>
        <v>31096.699999999997</v>
      </c>
      <c r="AI14" s="34">
        <f t="shared" si="0"/>
        <v>0</v>
      </c>
      <c r="AJ14" s="34">
        <f t="shared" si="0"/>
        <v>0</v>
      </c>
      <c r="AK14" s="34">
        <f t="shared" si="0"/>
        <v>32071</v>
      </c>
      <c r="AL14" s="34">
        <f t="shared" si="0"/>
        <v>0</v>
      </c>
      <c r="AM14" s="34">
        <f t="shared" si="0"/>
        <v>0</v>
      </c>
      <c r="AN14" s="34">
        <f t="shared" si="0"/>
        <v>28531.7</v>
      </c>
      <c r="AO14" s="34">
        <f t="shared" si="0"/>
        <v>0</v>
      </c>
      <c r="AP14" s="34">
        <f t="shared" si="0"/>
        <v>0</v>
      </c>
      <c r="AQ14" s="19"/>
    </row>
    <row r="15" spans="1:43" ht="39" customHeight="1" x14ac:dyDescent="0.25">
      <c r="A15" s="172"/>
      <c r="B15" s="151"/>
      <c r="C15" s="21" t="s">
        <v>22</v>
      </c>
      <c r="D15" s="51">
        <f>G15+J15+M15+P15+S15+V15+Y15+AB15+AE15+AH15+AK15+AN15</f>
        <v>413561.10000000003</v>
      </c>
      <c r="E15" s="48">
        <f t="shared" ref="E15:E33" si="1">H15+K15+N15+Q15+T15+W15+Z15+AC15+AF15+AI15+AL15+AO15</f>
        <v>19</v>
      </c>
      <c r="F15" s="33">
        <f t="shared" ref="F15:F31" si="2">E15/D15*100</f>
        <v>4.5942425436048019E-3</v>
      </c>
      <c r="G15" s="34">
        <f>G20+G25+G30</f>
        <v>13280.8</v>
      </c>
      <c r="H15" s="35">
        <f t="shared" si="0"/>
        <v>19</v>
      </c>
      <c r="I15" s="34" t="e">
        <f t="shared" si="0"/>
        <v>#DIV/0!</v>
      </c>
      <c r="J15" s="34">
        <f t="shared" si="0"/>
        <v>32912.5</v>
      </c>
      <c r="K15" s="35">
        <f t="shared" si="0"/>
        <v>0</v>
      </c>
      <c r="L15" s="34">
        <f t="shared" si="0"/>
        <v>0</v>
      </c>
      <c r="M15" s="34">
        <f t="shared" si="0"/>
        <v>36815.800000000003</v>
      </c>
      <c r="N15" s="36">
        <f>N20+N25+N30</f>
        <v>0</v>
      </c>
      <c r="O15" s="34">
        <v>0</v>
      </c>
      <c r="P15" s="34">
        <f t="shared" si="0"/>
        <v>34357.899999999994</v>
      </c>
      <c r="Q15" s="36">
        <f t="shared" si="0"/>
        <v>0</v>
      </c>
      <c r="R15" s="36">
        <f t="shared" si="0"/>
        <v>0</v>
      </c>
      <c r="S15" s="34">
        <f t="shared" si="0"/>
        <v>43867.1</v>
      </c>
      <c r="T15" s="36">
        <f t="shared" si="0"/>
        <v>0</v>
      </c>
      <c r="U15" s="34">
        <f t="shared" si="0"/>
        <v>0</v>
      </c>
      <c r="V15" s="34">
        <f t="shared" si="0"/>
        <v>47827.5</v>
      </c>
      <c r="W15" s="46">
        <f t="shared" si="0"/>
        <v>0</v>
      </c>
      <c r="X15" s="34">
        <f t="shared" si="0"/>
        <v>0</v>
      </c>
      <c r="Y15" s="34">
        <f t="shared" si="0"/>
        <v>39916.300000000003</v>
      </c>
      <c r="Z15" s="34">
        <f t="shared" si="0"/>
        <v>0</v>
      </c>
      <c r="AA15" s="34">
        <f t="shared" si="0"/>
        <v>0</v>
      </c>
      <c r="AB15" s="34">
        <f t="shared" si="0"/>
        <v>38931.5</v>
      </c>
      <c r="AC15" s="34">
        <f t="shared" si="0"/>
        <v>0</v>
      </c>
      <c r="AD15" s="34">
        <f t="shared" si="0"/>
        <v>0</v>
      </c>
      <c r="AE15" s="34">
        <f t="shared" si="0"/>
        <v>34030.1</v>
      </c>
      <c r="AF15" s="34">
        <f t="shared" si="0"/>
        <v>0</v>
      </c>
      <c r="AG15" s="34">
        <f t="shared" si="0"/>
        <v>0</v>
      </c>
      <c r="AH15" s="34">
        <f t="shared" si="0"/>
        <v>31049.899999999998</v>
      </c>
      <c r="AI15" s="34">
        <f t="shared" si="0"/>
        <v>0</v>
      </c>
      <c r="AJ15" s="34">
        <f t="shared" si="0"/>
        <v>0</v>
      </c>
      <c r="AK15" s="34">
        <f t="shared" si="0"/>
        <v>32040</v>
      </c>
      <c r="AL15" s="34">
        <f t="shared" si="0"/>
        <v>0</v>
      </c>
      <c r="AM15" s="34">
        <f t="shared" si="0"/>
        <v>0</v>
      </c>
      <c r="AN15" s="34">
        <f t="shared" si="0"/>
        <v>28531.7</v>
      </c>
      <c r="AO15" s="34">
        <f t="shared" si="0"/>
        <v>0</v>
      </c>
      <c r="AP15" s="89">
        <v>0</v>
      </c>
      <c r="AQ15" s="22"/>
    </row>
    <row r="16" spans="1:43" ht="26.25" customHeight="1" x14ac:dyDescent="0.25">
      <c r="A16" s="172"/>
      <c r="B16" s="151"/>
      <c r="C16" s="21" t="s">
        <v>23</v>
      </c>
      <c r="D16" s="51">
        <f t="shared" ref="D16:D28" si="3">G16+J16+M16+P16+S16+V16+Y16+AB16+AE16+AH16+AK16+AN16</f>
        <v>2186.9000000000005</v>
      </c>
      <c r="E16" s="48">
        <f>H16+K16+N16+Q16+T16+W16+Z16+AC16+AF16+AI16+AL16+AO16</f>
        <v>0</v>
      </c>
      <c r="F16" s="33">
        <f t="shared" si="2"/>
        <v>0</v>
      </c>
      <c r="G16" s="34">
        <f>G21+G26+G31</f>
        <v>0</v>
      </c>
      <c r="H16" s="35">
        <f>H21+H31</f>
        <v>0</v>
      </c>
      <c r="I16" s="35" t="e">
        <f t="shared" ref="I16:I31" si="4">H16/G16*100</f>
        <v>#DIV/0!</v>
      </c>
      <c r="J16" s="34">
        <f>J21+J26+J31</f>
        <v>0</v>
      </c>
      <c r="K16" s="35">
        <f>K21+K26+K31</f>
        <v>0</v>
      </c>
      <c r="L16" s="35" t="e">
        <f t="shared" ref="L16:L31" si="5">K16/J16*100</f>
        <v>#DIV/0!</v>
      </c>
      <c r="M16" s="34">
        <f>M21+M26+M31</f>
        <v>52.3</v>
      </c>
      <c r="N16" s="36">
        <f>N21+N26+N31</f>
        <v>0</v>
      </c>
      <c r="O16" s="35">
        <f t="shared" ref="O16:O31" si="6">N16/M16*100</f>
        <v>0</v>
      </c>
      <c r="P16" s="34">
        <f t="shared" si="0"/>
        <v>117.4</v>
      </c>
      <c r="Q16" s="36">
        <f>Q21+Q26+Q31</f>
        <v>0</v>
      </c>
      <c r="R16" s="36">
        <f t="shared" ref="R16:R31" si="7">Q16/P16*100</f>
        <v>0</v>
      </c>
      <c r="S16" s="37">
        <f t="shared" si="0"/>
        <v>1697.2</v>
      </c>
      <c r="T16" s="36">
        <f>T21+T26+T31</f>
        <v>0</v>
      </c>
      <c r="U16" s="35">
        <f t="shared" ref="U16:U31" si="8">T16/S16*100</f>
        <v>0</v>
      </c>
      <c r="V16" s="37">
        <f t="shared" si="0"/>
        <v>48.4</v>
      </c>
      <c r="W16" s="47">
        <f>W21+W26+W31</f>
        <v>0</v>
      </c>
      <c r="X16" s="35">
        <f t="shared" ref="X16:X31" si="9">W16/V16*100</f>
        <v>0</v>
      </c>
      <c r="Y16" s="37">
        <f t="shared" si="0"/>
        <v>0</v>
      </c>
      <c r="Z16" s="36">
        <f>Z21+Z26+Z31</f>
        <v>0</v>
      </c>
      <c r="AA16" s="35" t="e">
        <f t="shared" ref="AA16:AA31" si="10">Z16/Y16*100</f>
        <v>#DIV/0!</v>
      </c>
      <c r="AB16" s="37">
        <f t="shared" si="0"/>
        <v>59.5</v>
      </c>
      <c r="AC16" s="36">
        <f>AC21+AC26+AC31</f>
        <v>0</v>
      </c>
      <c r="AD16" s="35">
        <f t="shared" ref="AD16:AD31" si="11">AC16/AB16*100</f>
        <v>0</v>
      </c>
      <c r="AE16" s="37">
        <f t="shared" si="0"/>
        <v>134.30000000000001</v>
      </c>
      <c r="AF16" s="36">
        <f>AF21+AF26+AF31</f>
        <v>0</v>
      </c>
      <c r="AG16" s="35">
        <f t="shared" ref="AG16:AG31" si="12">AF16/AE16*100</f>
        <v>0</v>
      </c>
      <c r="AH16" s="37">
        <f t="shared" si="0"/>
        <v>46.8</v>
      </c>
      <c r="AI16" s="36">
        <f>AI21+AI26+AI31</f>
        <v>0</v>
      </c>
      <c r="AJ16" s="35">
        <f t="shared" ref="AJ16:AJ29" si="13">AI16/AH16*100</f>
        <v>0</v>
      </c>
      <c r="AK16" s="37">
        <f t="shared" si="0"/>
        <v>31</v>
      </c>
      <c r="AL16" s="36">
        <v>0</v>
      </c>
      <c r="AM16" s="35">
        <f t="shared" ref="AM16:AM31" si="14">AL16/AK16*100</f>
        <v>0</v>
      </c>
      <c r="AN16" s="90">
        <f t="shared" si="0"/>
        <v>0</v>
      </c>
      <c r="AO16" s="36">
        <v>0</v>
      </c>
      <c r="AP16" s="91">
        <v>0</v>
      </c>
      <c r="AQ16" s="23"/>
    </row>
    <row r="17" spans="1:43" ht="26.25" customHeight="1" x14ac:dyDescent="0.25">
      <c r="A17" s="172"/>
      <c r="B17" s="151"/>
      <c r="C17" s="21" t="s">
        <v>24</v>
      </c>
      <c r="D17" s="51">
        <f>G17+J17+M17+P17+S17+V17+Y17+AB17+AE17+AH17+AK17+AN17</f>
        <v>17.2</v>
      </c>
      <c r="E17" s="48">
        <f t="shared" si="1"/>
        <v>0</v>
      </c>
      <c r="F17" s="33">
        <v>0</v>
      </c>
      <c r="G17" s="34">
        <f t="shared" ref="G17" si="15">G22+G27+G32</f>
        <v>0</v>
      </c>
      <c r="H17" s="35">
        <f>H22+H27+H32</f>
        <v>0</v>
      </c>
      <c r="I17" s="35">
        <v>0</v>
      </c>
      <c r="J17" s="34">
        <f t="shared" ref="J17" si="16">J22+J27+J32</f>
        <v>0</v>
      </c>
      <c r="K17" s="35">
        <v>0</v>
      </c>
      <c r="L17" s="35">
        <v>0</v>
      </c>
      <c r="M17" s="34">
        <f>M22+M27+M32</f>
        <v>0</v>
      </c>
      <c r="N17" s="36">
        <f>N22+N27+N32</f>
        <v>0</v>
      </c>
      <c r="O17" s="35">
        <v>0</v>
      </c>
      <c r="P17" s="34">
        <f t="shared" si="0"/>
        <v>0</v>
      </c>
      <c r="Q17" s="36">
        <f>Q22+Q26+Q32</f>
        <v>0</v>
      </c>
      <c r="R17" s="36">
        <v>0</v>
      </c>
      <c r="S17" s="34">
        <f t="shared" si="0"/>
        <v>0</v>
      </c>
      <c r="T17" s="36">
        <v>0</v>
      </c>
      <c r="U17" s="35">
        <v>0</v>
      </c>
      <c r="V17" s="34">
        <f t="shared" si="0"/>
        <v>0</v>
      </c>
      <c r="W17" s="47">
        <v>0</v>
      </c>
      <c r="X17" s="35">
        <v>0</v>
      </c>
      <c r="Y17" s="34">
        <v>0</v>
      </c>
      <c r="Z17" s="36">
        <v>0</v>
      </c>
      <c r="AA17" s="35">
        <v>0</v>
      </c>
      <c r="AB17" s="34">
        <v>0</v>
      </c>
      <c r="AC17" s="36">
        <v>0</v>
      </c>
      <c r="AD17" s="35">
        <v>0</v>
      </c>
      <c r="AE17" s="34">
        <f t="shared" si="0"/>
        <v>17.2</v>
      </c>
      <c r="AF17" s="36">
        <v>0</v>
      </c>
      <c r="AG17" s="35">
        <v>0</v>
      </c>
      <c r="AH17" s="34">
        <f t="shared" si="0"/>
        <v>0</v>
      </c>
      <c r="AI17" s="36">
        <v>0</v>
      </c>
      <c r="AJ17" s="35">
        <v>0</v>
      </c>
      <c r="AK17" s="34">
        <f t="shared" si="0"/>
        <v>0</v>
      </c>
      <c r="AL17" s="36">
        <v>0</v>
      </c>
      <c r="AM17" s="35">
        <v>0</v>
      </c>
      <c r="AN17" s="92">
        <f t="shared" si="0"/>
        <v>0</v>
      </c>
      <c r="AO17" s="36">
        <v>0</v>
      </c>
      <c r="AP17" s="91">
        <v>0</v>
      </c>
      <c r="AQ17" s="23"/>
    </row>
    <row r="18" spans="1:43" ht="26.25" customHeight="1" x14ac:dyDescent="0.25">
      <c r="A18" s="173"/>
      <c r="B18" s="152"/>
      <c r="C18" s="18" t="s">
        <v>25</v>
      </c>
      <c r="D18" s="51">
        <f t="shared" si="3"/>
        <v>0</v>
      </c>
      <c r="E18" s="48">
        <f t="shared" si="1"/>
        <v>0</v>
      </c>
      <c r="F18" s="33">
        <v>0</v>
      </c>
      <c r="G18" s="38">
        <v>0</v>
      </c>
      <c r="H18" s="33">
        <f>H23+H28+H33</f>
        <v>0</v>
      </c>
      <c r="I18" s="35">
        <v>0</v>
      </c>
      <c r="J18" s="38">
        <v>0</v>
      </c>
      <c r="K18" s="35">
        <v>0</v>
      </c>
      <c r="L18" s="35">
        <v>0</v>
      </c>
      <c r="M18" s="38">
        <v>0</v>
      </c>
      <c r="N18" s="39">
        <f>N23+N28+N33</f>
        <v>0</v>
      </c>
      <c r="O18" s="35">
        <v>0</v>
      </c>
      <c r="P18" s="38">
        <v>0</v>
      </c>
      <c r="Q18" s="39">
        <v>0</v>
      </c>
      <c r="R18" s="36">
        <v>0</v>
      </c>
      <c r="S18" s="38">
        <v>0</v>
      </c>
      <c r="T18" s="39">
        <v>0</v>
      </c>
      <c r="U18" s="35">
        <v>0</v>
      </c>
      <c r="V18" s="38">
        <v>0</v>
      </c>
      <c r="W18" s="48">
        <v>0</v>
      </c>
      <c r="X18" s="35">
        <v>0</v>
      </c>
      <c r="Y18" s="38">
        <v>0</v>
      </c>
      <c r="Z18" s="39">
        <v>0</v>
      </c>
      <c r="AA18" s="35">
        <v>0</v>
      </c>
      <c r="AB18" s="38">
        <v>0</v>
      </c>
      <c r="AC18" s="39">
        <v>0</v>
      </c>
      <c r="AD18" s="35">
        <v>0</v>
      </c>
      <c r="AE18" s="38">
        <v>0</v>
      </c>
      <c r="AF18" s="33">
        <v>0</v>
      </c>
      <c r="AG18" s="35">
        <v>0</v>
      </c>
      <c r="AH18" s="38">
        <v>0</v>
      </c>
      <c r="AI18" s="39">
        <v>0</v>
      </c>
      <c r="AJ18" s="35">
        <v>0</v>
      </c>
      <c r="AK18" s="38">
        <v>0</v>
      </c>
      <c r="AL18" s="39">
        <v>0</v>
      </c>
      <c r="AM18" s="35">
        <v>0</v>
      </c>
      <c r="AN18" s="93">
        <v>0</v>
      </c>
      <c r="AO18" s="39">
        <v>0</v>
      </c>
      <c r="AP18" s="39">
        <v>0</v>
      </c>
      <c r="AQ18" s="23"/>
    </row>
    <row r="19" spans="1:43" ht="39" customHeight="1" x14ac:dyDescent="0.25">
      <c r="A19" s="167" t="s">
        <v>26</v>
      </c>
      <c r="B19" s="153" t="s">
        <v>27</v>
      </c>
      <c r="C19" s="18" t="s">
        <v>21</v>
      </c>
      <c r="D19" s="49">
        <f>G19+J19+M19+P19+S19+V19+Y19+AB19+AE19+AH19+AK19+AN19</f>
        <v>8687.4</v>
      </c>
      <c r="E19" s="49">
        <f t="shared" si="1"/>
        <v>0</v>
      </c>
      <c r="F19" s="40">
        <f t="shared" ref="F19:O19" si="17">F20+F21+F22</f>
        <v>0</v>
      </c>
      <c r="G19" s="40">
        <f t="shared" si="17"/>
        <v>0</v>
      </c>
      <c r="H19" s="40">
        <f t="shared" si="17"/>
        <v>0</v>
      </c>
      <c r="I19" s="40" t="e">
        <f t="shared" si="17"/>
        <v>#DIV/0!</v>
      </c>
      <c r="J19" s="40">
        <f t="shared" si="17"/>
        <v>123.7</v>
      </c>
      <c r="K19" s="40">
        <f t="shared" si="17"/>
        <v>0</v>
      </c>
      <c r="L19" s="40" t="e">
        <f t="shared" si="17"/>
        <v>#DIV/0!</v>
      </c>
      <c r="M19" s="40">
        <f t="shared" si="17"/>
        <v>175.2</v>
      </c>
      <c r="N19" s="40">
        <f t="shared" si="17"/>
        <v>0</v>
      </c>
      <c r="O19" s="40">
        <f t="shared" si="17"/>
        <v>0</v>
      </c>
      <c r="P19" s="40">
        <f>P20+P21+P22+P23</f>
        <v>136.6</v>
      </c>
      <c r="Q19" s="40">
        <f>Q20+Q21+Q22+Q23</f>
        <v>0</v>
      </c>
      <c r="R19" s="41">
        <f t="shared" si="7"/>
        <v>0</v>
      </c>
      <c r="S19" s="40">
        <f t="shared" ref="S19:AN19" si="18">S20+S21</f>
        <v>3511.1000000000004</v>
      </c>
      <c r="T19" s="40">
        <f>T20+T21+T22</f>
        <v>0</v>
      </c>
      <c r="U19" s="41">
        <f t="shared" si="8"/>
        <v>0</v>
      </c>
      <c r="V19" s="40">
        <f t="shared" si="18"/>
        <v>1939.2</v>
      </c>
      <c r="W19" s="49">
        <f>W20+W21+W23+W22</f>
        <v>0</v>
      </c>
      <c r="X19" s="41">
        <f t="shared" si="9"/>
        <v>0</v>
      </c>
      <c r="Y19" s="40">
        <f t="shared" si="18"/>
        <v>1822</v>
      </c>
      <c r="Z19" s="40">
        <f>Z20+Z21</f>
        <v>0</v>
      </c>
      <c r="AA19" s="41">
        <f t="shared" si="10"/>
        <v>0</v>
      </c>
      <c r="AB19" s="40">
        <f t="shared" si="18"/>
        <v>594</v>
      </c>
      <c r="AC19" s="40">
        <f>AC20+AC21</f>
        <v>0</v>
      </c>
      <c r="AD19" s="41">
        <f t="shared" si="11"/>
        <v>0</v>
      </c>
      <c r="AE19" s="40">
        <f>AE20+AE21+AE22</f>
        <v>294</v>
      </c>
      <c r="AF19" s="40">
        <f>AF20+AF21</f>
        <v>0</v>
      </c>
      <c r="AG19" s="41">
        <f t="shared" si="12"/>
        <v>0</v>
      </c>
      <c r="AH19" s="40">
        <f t="shared" si="18"/>
        <v>55.099999999999994</v>
      </c>
      <c r="AI19" s="40">
        <f>AI20+AI21</f>
        <v>0</v>
      </c>
      <c r="AJ19" s="41">
        <f t="shared" si="13"/>
        <v>0</v>
      </c>
      <c r="AK19" s="40">
        <f t="shared" si="18"/>
        <v>36.5</v>
      </c>
      <c r="AL19" s="40">
        <f>AL20+AL21</f>
        <v>0</v>
      </c>
      <c r="AM19" s="41">
        <f t="shared" si="14"/>
        <v>0</v>
      </c>
      <c r="AN19" s="40">
        <f t="shared" si="18"/>
        <v>0</v>
      </c>
      <c r="AO19" s="40">
        <v>0</v>
      </c>
      <c r="AP19" s="40">
        <v>0</v>
      </c>
      <c r="AQ19" s="19"/>
    </row>
    <row r="20" spans="1:43" ht="26.25" customHeight="1" x14ac:dyDescent="0.25">
      <c r="A20" s="168"/>
      <c r="B20" s="154"/>
      <c r="C20" s="21" t="s">
        <v>22</v>
      </c>
      <c r="D20" s="51">
        <f>G20+J20+M20+P20+S20+V20+Y20+AB20+AE20+AH20+AK20+AN20</f>
        <v>6483.3</v>
      </c>
      <c r="E20" s="48">
        <f t="shared" si="1"/>
        <v>0</v>
      </c>
      <c r="F20" s="33">
        <f t="shared" si="2"/>
        <v>0</v>
      </c>
      <c r="G20" s="38">
        <v>0</v>
      </c>
      <c r="H20" s="33">
        <v>0</v>
      </c>
      <c r="I20" s="35" t="e">
        <f t="shared" si="4"/>
        <v>#DIV/0!</v>
      </c>
      <c r="J20" s="38">
        <v>123.7</v>
      </c>
      <c r="K20" s="35">
        <v>0</v>
      </c>
      <c r="L20" s="35">
        <f t="shared" si="5"/>
        <v>0</v>
      </c>
      <c r="M20" s="38">
        <v>122.9</v>
      </c>
      <c r="N20" s="39">
        <v>0</v>
      </c>
      <c r="O20" s="35">
        <f t="shared" si="6"/>
        <v>0</v>
      </c>
      <c r="P20" s="38">
        <v>19.2</v>
      </c>
      <c r="Q20" s="39">
        <v>0</v>
      </c>
      <c r="R20" s="36">
        <f t="shared" si="7"/>
        <v>0</v>
      </c>
      <c r="S20" s="38">
        <v>1813.9</v>
      </c>
      <c r="T20" s="39">
        <v>0</v>
      </c>
      <c r="U20" s="35">
        <f t="shared" si="8"/>
        <v>0</v>
      </c>
      <c r="V20" s="38">
        <v>1890.8</v>
      </c>
      <c r="W20" s="48">
        <v>0</v>
      </c>
      <c r="X20" s="35">
        <f t="shared" si="9"/>
        <v>0</v>
      </c>
      <c r="Y20" s="38">
        <v>1822</v>
      </c>
      <c r="Z20" s="39">
        <v>0</v>
      </c>
      <c r="AA20" s="35">
        <f>Z20/Y20*100</f>
        <v>0</v>
      </c>
      <c r="AB20" s="38">
        <v>534.5</v>
      </c>
      <c r="AC20" s="39">
        <v>0</v>
      </c>
      <c r="AD20" s="35">
        <f t="shared" si="11"/>
        <v>0</v>
      </c>
      <c r="AE20" s="38">
        <v>142.5</v>
      </c>
      <c r="AF20" s="39">
        <v>0</v>
      </c>
      <c r="AG20" s="35">
        <v>0</v>
      </c>
      <c r="AH20" s="38">
        <v>8.3000000000000007</v>
      </c>
      <c r="AI20" s="39">
        <v>0</v>
      </c>
      <c r="AJ20" s="35">
        <v>0</v>
      </c>
      <c r="AK20" s="38">
        <v>5.5</v>
      </c>
      <c r="AL20" s="39">
        <v>0</v>
      </c>
      <c r="AM20" s="35">
        <f t="shared" si="14"/>
        <v>0</v>
      </c>
      <c r="AN20" s="93">
        <v>0</v>
      </c>
      <c r="AO20" s="39">
        <v>0</v>
      </c>
      <c r="AP20" s="89">
        <v>0</v>
      </c>
      <c r="AQ20" s="22"/>
    </row>
    <row r="21" spans="1:43" ht="26.25" customHeight="1" x14ac:dyDescent="0.25">
      <c r="A21" s="168"/>
      <c r="B21" s="154"/>
      <c r="C21" s="18" t="s">
        <v>23</v>
      </c>
      <c r="D21" s="51">
        <f>G21+J21+M21+P21+S21+V21+Y21+AB21+AE21+AH21+AK21+AN21</f>
        <v>2186.9000000000005</v>
      </c>
      <c r="E21" s="48">
        <f t="shared" si="1"/>
        <v>0</v>
      </c>
      <c r="F21" s="33">
        <f t="shared" si="2"/>
        <v>0</v>
      </c>
      <c r="G21" s="38">
        <v>0</v>
      </c>
      <c r="H21" s="33">
        <v>0</v>
      </c>
      <c r="I21" s="35" t="e">
        <f t="shared" si="4"/>
        <v>#DIV/0!</v>
      </c>
      <c r="J21" s="38">
        <v>0</v>
      </c>
      <c r="K21" s="35">
        <v>0</v>
      </c>
      <c r="L21" s="35" t="e">
        <f t="shared" si="5"/>
        <v>#DIV/0!</v>
      </c>
      <c r="M21" s="38">
        <v>52.3</v>
      </c>
      <c r="N21" s="39">
        <v>0</v>
      </c>
      <c r="O21" s="35">
        <f t="shared" si="6"/>
        <v>0</v>
      </c>
      <c r="P21" s="38">
        <v>117.4</v>
      </c>
      <c r="Q21" s="39">
        <v>0</v>
      </c>
      <c r="R21" s="36">
        <f t="shared" si="7"/>
        <v>0</v>
      </c>
      <c r="S21" s="38">
        <v>1697.2</v>
      </c>
      <c r="T21" s="39">
        <v>0</v>
      </c>
      <c r="U21" s="35">
        <f t="shared" si="8"/>
        <v>0</v>
      </c>
      <c r="V21" s="38">
        <v>48.4</v>
      </c>
      <c r="W21" s="48">
        <v>0</v>
      </c>
      <c r="X21" s="35">
        <f t="shared" si="9"/>
        <v>0</v>
      </c>
      <c r="Y21" s="38">
        <v>0</v>
      </c>
      <c r="Z21" s="39">
        <v>0</v>
      </c>
      <c r="AA21" s="35" t="e">
        <f t="shared" si="10"/>
        <v>#DIV/0!</v>
      </c>
      <c r="AB21" s="38">
        <v>59.5</v>
      </c>
      <c r="AC21" s="39">
        <v>0</v>
      </c>
      <c r="AD21" s="35">
        <f t="shared" si="11"/>
        <v>0</v>
      </c>
      <c r="AE21" s="38">
        <v>134.30000000000001</v>
      </c>
      <c r="AF21" s="39">
        <v>0</v>
      </c>
      <c r="AG21" s="35">
        <f t="shared" si="12"/>
        <v>0</v>
      </c>
      <c r="AH21" s="38">
        <v>46.8</v>
      </c>
      <c r="AI21" s="39">
        <v>0</v>
      </c>
      <c r="AJ21" s="35">
        <v>0</v>
      </c>
      <c r="AK21" s="38">
        <v>31</v>
      </c>
      <c r="AL21" s="39">
        <v>0</v>
      </c>
      <c r="AM21" s="35">
        <v>0</v>
      </c>
      <c r="AN21" s="93">
        <v>0</v>
      </c>
      <c r="AO21" s="39">
        <v>0</v>
      </c>
      <c r="AP21" s="89">
        <v>0</v>
      </c>
      <c r="AQ21" s="23"/>
    </row>
    <row r="22" spans="1:43" ht="26.25" customHeight="1" x14ac:dyDescent="0.25">
      <c r="A22" s="168"/>
      <c r="B22" s="154"/>
      <c r="C22" s="21" t="s">
        <v>24</v>
      </c>
      <c r="D22" s="51">
        <f t="shared" si="3"/>
        <v>17.2</v>
      </c>
      <c r="E22" s="48">
        <f t="shared" si="1"/>
        <v>0</v>
      </c>
      <c r="F22" s="33">
        <v>0</v>
      </c>
      <c r="G22" s="38">
        <v>0</v>
      </c>
      <c r="H22" s="33">
        <v>0</v>
      </c>
      <c r="I22" s="35">
        <v>0</v>
      </c>
      <c r="J22" s="38">
        <v>0</v>
      </c>
      <c r="K22" s="35">
        <v>0</v>
      </c>
      <c r="L22" s="35">
        <v>0</v>
      </c>
      <c r="M22" s="38">
        <v>0</v>
      </c>
      <c r="N22" s="39">
        <v>0</v>
      </c>
      <c r="O22" s="35">
        <v>0</v>
      </c>
      <c r="P22" s="38">
        <v>0</v>
      </c>
      <c r="Q22" s="39">
        <v>0</v>
      </c>
      <c r="R22" s="36">
        <v>0</v>
      </c>
      <c r="S22" s="38">
        <v>0</v>
      </c>
      <c r="T22" s="39">
        <v>0</v>
      </c>
      <c r="U22" s="35">
        <v>0</v>
      </c>
      <c r="V22" s="38">
        <v>0</v>
      </c>
      <c r="W22" s="48">
        <v>0</v>
      </c>
      <c r="X22" s="35">
        <v>0</v>
      </c>
      <c r="Y22" s="38">
        <v>0</v>
      </c>
      <c r="Z22" s="39">
        <v>0</v>
      </c>
      <c r="AA22" s="35">
        <v>0</v>
      </c>
      <c r="AB22" s="38">
        <v>0</v>
      </c>
      <c r="AC22" s="39">
        <v>0</v>
      </c>
      <c r="AD22" s="35">
        <v>0</v>
      </c>
      <c r="AE22" s="38">
        <v>17.2</v>
      </c>
      <c r="AF22" s="39">
        <v>0</v>
      </c>
      <c r="AG22" s="35">
        <v>0</v>
      </c>
      <c r="AH22" s="38">
        <v>0</v>
      </c>
      <c r="AI22" s="39">
        <v>0</v>
      </c>
      <c r="AJ22" s="35">
        <v>0</v>
      </c>
      <c r="AK22" s="38">
        <v>0</v>
      </c>
      <c r="AL22" s="39">
        <v>0</v>
      </c>
      <c r="AM22" s="35">
        <v>0</v>
      </c>
      <c r="AN22" s="93">
        <v>0</v>
      </c>
      <c r="AO22" s="39">
        <v>0</v>
      </c>
      <c r="AP22" s="89">
        <v>0</v>
      </c>
      <c r="AQ22" s="23"/>
    </row>
    <row r="23" spans="1:43" ht="26.25" customHeight="1" x14ac:dyDescent="0.25">
      <c r="A23" s="169"/>
      <c r="B23" s="155"/>
      <c r="C23" s="18" t="s">
        <v>25</v>
      </c>
      <c r="D23" s="51">
        <f t="shared" si="3"/>
        <v>0</v>
      </c>
      <c r="E23" s="48">
        <f t="shared" si="1"/>
        <v>0</v>
      </c>
      <c r="F23" s="33">
        <v>0</v>
      </c>
      <c r="G23" s="38">
        <v>0</v>
      </c>
      <c r="H23" s="33">
        <v>0</v>
      </c>
      <c r="I23" s="35">
        <v>0</v>
      </c>
      <c r="J23" s="38">
        <v>0</v>
      </c>
      <c r="K23" s="35">
        <v>0</v>
      </c>
      <c r="L23" s="35">
        <v>0</v>
      </c>
      <c r="M23" s="38">
        <v>0</v>
      </c>
      <c r="N23" s="39">
        <v>0</v>
      </c>
      <c r="O23" s="35">
        <v>0</v>
      </c>
      <c r="P23" s="38">
        <v>0</v>
      </c>
      <c r="Q23" s="39">
        <v>0</v>
      </c>
      <c r="R23" s="36">
        <v>0</v>
      </c>
      <c r="S23" s="38">
        <v>0</v>
      </c>
      <c r="T23" s="39">
        <v>0</v>
      </c>
      <c r="U23" s="35">
        <v>0</v>
      </c>
      <c r="V23" s="38">
        <v>0</v>
      </c>
      <c r="W23" s="48">
        <v>0</v>
      </c>
      <c r="X23" s="35">
        <v>0</v>
      </c>
      <c r="Y23" s="38">
        <v>0</v>
      </c>
      <c r="Z23" s="39">
        <v>0</v>
      </c>
      <c r="AA23" s="35">
        <v>0</v>
      </c>
      <c r="AB23" s="38">
        <v>0</v>
      </c>
      <c r="AC23" s="39">
        <v>0</v>
      </c>
      <c r="AD23" s="35">
        <v>0</v>
      </c>
      <c r="AE23" s="38">
        <v>0</v>
      </c>
      <c r="AF23" s="39">
        <v>0</v>
      </c>
      <c r="AG23" s="35">
        <v>0</v>
      </c>
      <c r="AH23" s="38">
        <v>0</v>
      </c>
      <c r="AI23" s="39">
        <v>0</v>
      </c>
      <c r="AJ23" s="35">
        <v>0</v>
      </c>
      <c r="AK23" s="38">
        <v>0</v>
      </c>
      <c r="AL23" s="39">
        <v>0</v>
      </c>
      <c r="AM23" s="35">
        <v>0</v>
      </c>
      <c r="AN23" s="93">
        <v>0</v>
      </c>
      <c r="AO23" s="39">
        <v>0</v>
      </c>
      <c r="AP23" s="39">
        <v>0</v>
      </c>
      <c r="AQ23" s="23"/>
    </row>
    <row r="24" spans="1:43" ht="37.5" customHeight="1" x14ac:dyDescent="0.25">
      <c r="A24" s="167" t="s">
        <v>30</v>
      </c>
      <c r="B24" s="153" t="s">
        <v>28</v>
      </c>
      <c r="C24" s="18" t="s">
        <v>21</v>
      </c>
      <c r="D24" s="49">
        <f>G24+J24+M24+P24+S24+V24+Y24+AB24+AE24+AH24+AK24+AN24</f>
        <v>5225</v>
      </c>
      <c r="E24" s="49">
        <f t="shared" si="1"/>
        <v>0</v>
      </c>
      <c r="F24" s="40">
        <f t="shared" si="2"/>
        <v>0</v>
      </c>
      <c r="G24" s="40">
        <f>G25+G26</f>
        <v>0</v>
      </c>
      <c r="H24" s="40">
        <f>H25+H26+H27+H28</f>
        <v>0</v>
      </c>
      <c r="I24" s="41">
        <v>0</v>
      </c>
      <c r="J24" s="40">
        <f>J25+J26+J27</f>
        <v>150</v>
      </c>
      <c r="K24" s="41">
        <f>K25+K26+K27+K28</f>
        <v>0</v>
      </c>
      <c r="L24" s="41">
        <v>0</v>
      </c>
      <c r="M24" s="40">
        <f>M25+M26+M27</f>
        <v>895.4</v>
      </c>
      <c r="N24" s="40">
        <f>N25+N26+N27+N28</f>
        <v>0</v>
      </c>
      <c r="O24" s="41">
        <f t="shared" si="6"/>
        <v>0</v>
      </c>
      <c r="P24" s="40">
        <f>P25+P26+P27</f>
        <v>437</v>
      </c>
      <c r="Q24" s="40">
        <f>Q25+Q26+Q27+Q28</f>
        <v>0</v>
      </c>
      <c r="R24" s="41">
        <f t="shared" si="7"/>
        <v>0</v>
      </c>
      <c r="S24" s="40">
        <f>S25+S26+S27</f>
        <v>702.1</v>
      </c>
      <c r="T24" s="40">
        <f>T25</f>
        <v>0</v>
      </c>
      <c r="U24" s="41">
        <f t="shared" si="8"/>
        <v>0</v>
      </c>
      <c r="V24" s="40">
        <f>V25+V26+V27</f>
        <v>1197</v>
      </c>
      <c r="W24" s="49">
        <f>W25+W26+W27+W28</f>
        <v>0</v>
      </c>
      <c r="X24" s="41">
        <f t="shared" si="9"/>
        <v>0</v>
      </c>
      <c r="Y24" s="40">
        <f>Y25+Y26+Y27</f>
        <v>400</v>
      </c>
      <c r="Z24" s="40">
        <f>Z25</f>
        <v>0</v>
      </c>
      <c r="AA24" s="41">
        <f t="shared" si="10"/>
        <v>0</v>
      </c>
      <c r="AB24" s="40">
        <f>AB25+AB26+AB27</f>
        <v>425.5</v>
      </c>
      <c r="AC24" s="40">
        <f>AC25</f>
        <v>0</v>
      </c>
      <c r="AD24" s="41">
        <f t="shared" si="11"/>
        <v>0</v>
      </c>
      <c r="AE24" s="40">
        <f>AE25+AE26</f>
        <v>318</v>
      </c>
      <c r="AF24" s="40">
        <f>AF25+AF26</f>
        <v>0</v>
      </c>
      <c r="AG24" s="41">
        <f t="shared" si="12"/>
        <v>0</v>
      </c>
      <c r="AH24" s="40">
        <f>AH25+AH26</f>
        <v>100</v>
      </c>
      <c r="AI24" s="40">
        <f>AI25</f>
        <v>0</v>
      </c>
      <c r="AJ24" s="41">
        <f t="shared" si="13"/>
        <v>0</v>
      </c>
      <c r="AK24" s="40">
        <f>AK25+AK26</f>
        <v>200</v>
      </c>
      <c r="AL24" s="40">
        <f>AL25</f>
        <v>0</v>
      </c>
      <c r="AM24" s="41">
        <f t="shared" si="14"/>
        <v>0</v>
      </c>
      <c r="AN24" s="94">
        <f>AN25+AN26</f>
        <v>400</v>
      </c>
      <c r="AO24" s="40">
        <v>0</v>
      </c>
      <c r="AP24" s="40">
        <v>0</v>
      </c>
      <c r="AQ24" s="19"/>
    </row>
    <row r="25" spans="1:43" ht="26.25" customHeight="1" x14ac:dyDescent="0.25">
      <c r="A25" s="168"/>
      <c r="B25" s="154"/>
      <c r="C25" s="18" t="s">
        <v>22</v>
      </c>
      <c r="D25" s="51">
        <f>G25+J25+M25+P25+S25+V25+Y25+AB25+AE25+AH25+AK25+AN25</f>
        <v>5225</v>
      </c>
      <c r="E25" s="48">
        <f t="shared" si="1"/>
        <v>0</v>
      </c>
      <c r="F25" s="33">
        <f t="shared" si="2"/>
        <v>0</v>
      </c>
      <c r="G25" s="38">
        <v>0</v>
      </c>
      <c r="H25" s="33">
        <v>0</v>
      </c>
      <c r="I25" s="35"/>
      <c r="J25" s="38">
        <v>150</v>
      </c>
      <c r="K25" s="35">
        <v>0</v>
      </c>
      <c r="L25" s="35">
        <v>0</v>
      </c>
      <c r="M25" s="38">
        <v>895.4</v>
      </c>
      <c r="N25" s="39">
        <v>0</v>
      </c>
      <c r="O25" s="35">
        <v>0</v>
      </c>
      <c r="P25" s="38">
        <v>437</v>
      </c>
      <c r="Q25" s="39">
        <v>0</v>
      </c>
      <c r="R25" s="36">
        <f t="shared" si="7"/>
        <v>0</v>
      </c>
      <c r="S25" s="38">
        <v>702.1</v>
      </c>
      <c r="T25" s="39">
        <v>0</v>
      </c>
      <c r="U25" s="35">
        <f t="shared" si="8"/>
        <v>0</v>
      </c>
      <c r="V25" s="38">
        <v>1197</v>
      </c>
      <c r="W25" s="48">
        <v>0</v>
      </c>
      <c r="X25" s="35">
        <f t="shared" si="9"/>
        <v>0</v>
      </c>
      <c r="Y25" s="38">
        <v>400</v>
      </c>
      <c r="Z25" s="39">
        <v>0</v>
      </c>
      <c r="AA25" s="35">
        <v>0</v>
      </c>
      <c r="AB25" s="38">
        <v>425.5</v>
      </c>
      <c r="AC25" s="39">
        <v>0</v>
      </c>
      <c r="AD25" s="35">
        <f t="shared" si="11"/>
        <v>0</v>
      </c>
      <c r="AE25" s="38">
        <v>318</v>
      </c>
      <c r="AF25" s="39">
        <v>0</v>
      </c>
      <c r="AG25" s="35">
        <f t="shared" si="12"/>
        <v>0</v>
      </c>
      <c r="AH25" s="38">
        <v>100</v>
      </c>
      <c r="AI25" s="39">
        <v>0</v>
      </c>
      <c r="AJ25" s="35">
        <f t="shared" si="13"/>
        <v>0</v>
      </c>
      <c r="AK25" s="38">
        <v>200</v>
      </c>
      <c r="AL25" s="39">
        <v>0</v>
      </c>
      <c r="AM25" s="35">
        <f t="shared" si="14"/>
        <v>0</v>
      </c>
      <c r="AN25" s="93">
        <v>400</v>
      </c>
      <c r="AO25" s="39">
        <v>0</v>
      </c>
      <c r="AP25" s="89">
        <v>0</v>
      </c>
      <c r="AQ25" s="22"/>
    </row>
    <row r="26" spans="1:43" ht="26.25" customHeight="1" x14ac:dyDescent="0.25">
      <c r="A26" s="168"/>
      <c r="B26" s="154"/>
      <c r="C26" s="21" t="s">
        <v>23</v>
      </c>
      <c r="D26" s="51">
        <f>G26+J26+M26+P26+S26+V26+Y26+AB26+AE26+AH26+AK26+AN26</f>
        <v>0</v>
      </c>
      <c r="E26" s="48">
        <f t="shared" si="1"/>
        <v>0</v>
      </c>
      <c r="F26" s="33">
        <v>0</v>
      </c>
      <c r="G26" s="38">
        <v>0</v>
      </c>
      <c r="H26" s="33">
        <v>0</v>
      </c>
      <c r="I26" s="35">
        <v>0</v>
      </c>
      <c r="J26" s="38">
        <v>0</v>
      </c>
      <c r="K26" s="35">
        <v>0</v>
      </c>
      <c r="L26" s="35">
        <v>0</v>
      </c>
      <c r="M26" s="38">
        <v>0</v>
      </c>
      <c r="N26" s="39">
        <v>0</v>
      </c>
      <c r="O26" s="35">
        <v>0</v>
      </c>
      <c r="P26" s="38">
        <v>0</v>
      </c>
      <c r="Q26" s="39">
        <v>0</v>
      </c>
      <c r="R26" s="36">
        <v>0</v>
      </c>
      <c r="S26" s="38">
        <v>0</v>
      </c>
      <c r="T26" s="39">
        <v>0</v>
      </c>
      <c r="U26" s="35">
        <v>0</v>
      </c>
      <c r="V26" s="38">
        <v>0</v>
      </c>
      <c r="W26" s="48">
        <v>0</v>
      </c>
      <c r="X26" s="35">
        <v>0</v>
      </c>
      <c r="Y26" s="38">
        <v>0</v>
      </c>
      <c r="Z26" s="39">
        <v>0</v>
      </c>
      <c r="AA26" s="35">
        <v>0</v>
      </c>
      <c r="AB26" s="38">
        <v>0</v>
      </c>
      <c r="AC26" s="39">
        <v>0</v>
      </c>
      <c r="AD26" s="35">
        <v>0</v>
      </c>
      <c r="AE26" s="38">
        <v>0</v>
      </c>
      <c r="AF26" s="39">
        <v>0</v>
      </c>
      <c r="AG26" s="35">
        <v>0</v>
      </c>
      <c r="AH26" s="38">
        <v>0</v>
      </c>
      <c r="AI26" s="39">
        <v>0</v>
      </c>
      <c r="AJ26" s="35">
        <v>0</v>
      </c>
      <c r="AK26" s="38">
        <v>0</v>
      </c>
      <c r="AL26" s="39">
        <v>0</v>
      </c>
      <c r="AM26" s="35">
        <v>0</v>
      </c>
      <c r="AN26" s="93">
        <v>0</v>
      </c>
      <c r="AO26" s="39">
        <v>0</v>
      </c>
      <c r="AP26" s="89">
        <v>0</v>
      </c>
      <c r="AQ26" s="23"/>
    </row>
    <row r="27" spans="1:43" ht="26.25" customHeight="1" x14ac:dyDescent="0.25">
      <c r="A27" s="168"/>
      <c r="B27" s="154"/>
      <c r="C27" s="21" t="s">
        <v>24</v>
      </c>
      <c r="D27" s="51">
        <f t="shared" si="3"/>
        <v>0</v>
      </c>
      <c r="E27" s="48">
        <f t="shared" si="1"/>
        <v>0</v>
      </c>
      <c r="F27" s="33">
        <v>0</v>
      </c>
      <c r="G27" s="38">
        <v>0</v>
      </c>
      <c r="H27" s="33">
        <v>0</v>
      </c>
      <c r="I27" s="35">
        <v>0</v>
      </c>
      <c r="J27" s="38">
        <v>0</v>
      </c>
      <c r="K27" s="35">
        <v>0</v>
      </c>
      <c r="L27" s="35">
        <v>0</v>
      </c>
      <c r="M27" s="38">
        <v>0</v>
      </c>
      <c r="N27" s="39">
        <v>0</v>
      </c>
      <c r="O27" s="35">
        <v>0</v>
      </c>
      <c r="P27" s="38">
        <v>0</v>
      </c>
      <c r="Q27" s="39">
        <v>0</v>
      </c>
      <c r="R27" s="36">
        <v>0</v>
      </c>
      <c r="S27" s="38">
        <v>0</v>
      </c>
      <c r="T27" s="39">
        <v>0</v>
      </c>
      <c r="U27" s="35">
        <v>0</v>
      </c>
      <c r="V27" s="38">
        <v>0</v>
      </c>
      <c r="W27" s="48">
        <v>0</v>
      </c>
      <c r="X27" s="35">
        <v>0</v>
      </c>
      <c r="Y27" s="38">
        <v>0</v>
      </c>
      <c r="Z27" s="39">
        <v>0</v>
      </c>
      <c r="AA27" s="35">
        <v>0</v>
      </c>
      <c r="AB27" s="38">
        <v>0</v>
      </c>
      <c r="AC27" s="39">
        <v>0</v>
      </c>
      <c r="AD27" s="35">
        <v>0</v>
      </c>
      <c r="AE27" s="38">
        <v>0</v>
      </c>
      <c r="AF27" s="39">
        <v>0</v>
      </c>
      <c r="AG27" s="35">
        <v>0</v>
      </c>
      <c r="AH27" s="38">
        <v>0</v>
      </c>
      <c r="AI27" s="39">
        <v>0</v>
      </c>
      <c r="AJ27" s="35">
        <v>0</v>
      </c>
      <c r="AK27" s="38">
        <v>0</v>
      </c>
      <c r="AL27" s="39">
        <v>0</v>
      </c>
      <c r="AM27" s="35">
        <v>0</v>
      </c>
      <c r="AN27" s="93">
        <v>0</v>
      </c>
      <c r="AO27" s="39">
        <v>0</v>
      </c>
      <c r="AP27" s="39">
        <v>0</v>
      </c>
      <c r="AQ27" s="23"/>
    </row>
    <row r="28" spans="1:43" ht="26.25" customHeight="1" x14ac:dyDescent="0.25">
      <c r="A28" s="169"/>
      <c r="B28" s="155"/>
      <c r="C28" s="18" t="s">
        <v>25</v>
      </c>
      <c r="D28" s="51">
        <f t="shared" si="3"/>
        <v>0</v>
      </c>
      <c r="E28" s="48">
        <f t="shared" si="1"/>
        <v>0</v>
      </c>
      <c r="F28" s="33">
        <v>0</v>
      </c>
      <c r="G28" s="38">
        <v>0</v>
      </c>
      <c r="H28" s="33">
        <v>0</v>
      </c>
      <c r="I28" s="35">
        <v>0</v>
      </c>
      <c r="J28" s="38">
        <v>0</v>
      </c>
      <c r="K28" s="35">
        <v>0</v>
      </c>
      <c r="L28" s="35">
        <v>0</v>
      </c>
      <c r="M28" s="38">
        <v>0</v>
      </c>
      <c r="N28" s="39">
        <v>0</v>
      </c>
      <c r="O28" s="35">
        <v>0</v>
      </c>
      <c r="P28" s="38">
        <v>0</v>
      </c>
      <c r="Q28" s="39">
        <v>0</v>
      </c>
      <c r="R28" s="36">
        <v>0</v>
      </c>
      <c r="S28" s="38">
        <v>0</v>
      </c>
      <c r="T28" s="39">
        <v>0</v>
      </c>
      <c r="U28" s="35">
        <v>0</v>
      </c>
      <c r="V28" s="38">
        <v>0</v>
      </c>
      <c r="W28" s="48">
        <v>0</v>
      </c>
      <c r="X28" s="35">
        <v>0</v>
      </c>
      <c r="Y28" s="38">
        <v>0</v>
      </c>
      <c r="Z28" s="39">
        <v>0</v>
      </c>
      <c r="AA28" s="35">
        <v>0</v>
      </c>
      <c r="AB28" s="38">
        <v>0</v>
      </c>
      <c r="AC28" s="39">
        <v>0</v>
      </c>
      <c r="AD28" s="35">
        <v>0</v>
      </c>
      <c r="AE28" s="38">
        <v>0</v>
      </c>
      <c r="AF28" s="39">
        <v>0</v>
      </c>
      <c r="AG28" s="35">
        <v>0</v>
      </c>
      <c r="AH28" s="38">
        <v>0</v>
      </c>
      <c r="AI28" s="39">
        <v>0</v>
      </c>
      <c r="AJ28" s="35">
        <v>0</v>
      </c>
      <c r="AK28" s="38">
        <v>0</v>
      </c>
      <c r="AL28" s="39">
        <v>0</v>
      </c>
      <c r="AM28" s="35">
        <v>0</v>
      </c>
      <c r="AN28" s="93">
        <v>0</v>
      </c>
      <c r="AO28" s="39">
        <v>0</v>
      </c>
      <c r="AP28" s="39">
        <v>0</v>
      </c>
      <c r="AQ28" s="23"/>
    </row>
    <row r="29" spans="1:43" ht="39" customHeight="1" x14ac:dyDescent="0.25">
      <c r="A29" s="167" t="s">
        <v>31</v>
      </c>
      <c r="B29" s="153" t="s">
        <v>29</v>
      </c>
      <c r="C29" s="24" t="s">
        <v>21</v>
      </c>
      <c r="D29" s="50">
        <f>G29+J29+M29+P29+S29+V29+Y29+AB29+AE29+AH29+AK29+AN29</f>
        <v>401852.79999999993</v>
      </c>
      <c r="E29" s="49">
        <f t="shared" si="1"/>
        <v>19</v>
      </c>
      <c r="F29" s="40">
        <f t="shared" si="2"/>
        <v>4.728099443378272E-3</v>
      </c>
      <c r="G29" s="42">
        <f>G30+G31</f>
        <v>13280.8</v>
      </c>
      <c r="H29" s="42">
        <f>H30+H31+H32+H33</f>
        <v>19</v>
      </c>
      <c r="I29" s="41">
        <f t="shared" si="4"/>
        <v>0.14306367086320101</v>
      </c>
      <c r="J29" s="42">
        <f>J30+J31</f>
        <v>32638.799999999999</v>
      </c>
      <c r="K29" s="41">
        <f>K30+K31+K32+K33</f>
        <v>0</v>
      </c>
      <c r="L29" s="41">
        <f t="shared" si="5"/>
        <v>0</v>
      </c>
      <c r="M29" s="42">
        <f>M30+M31</f>
        <v>35797.5</v>
      </c>
      <c r="N29" s="42">
        <f>N30+N31+N32+N33</f>
        <v>0</v>
      </c>
      <c r="O29" s="41">
        <f t="shared" si="6"/>
        <v>0</v>
      </c>
      <c r="P29" s="42">
        <f>P30+P31</f>
        <v>33901.699999999997</v>
      </c>
      <c r="Q29" s="42">
        <f>Q30+Q31+Q32</f>
        <v>0</v>
      </c>
      <c r="R29" s="41">
        <f t="shared" si="7"/>
        <v>0</v>
      </c>
      <c r="S29" s="42">
        <f>S30+S31</f>
        <v>41351.1</v>
      </c>
      <c r="T29" s="42">
        <f>T30+T31+T32+T33</f>
        <v>0</v>
      </c>
      <c r="U29" s="41">
        <f t="shared" si="8"/>
        <v>0</v>
      </c>
      <c r="V29" s="42">
        <f>V30+V31</f>
        <v>44739.7</v>
      </c>
      <c r="W29" s="50">
        <f>W30+W31+W32+W33</f>
        <v>0</v>
      </c>
      <c r="X29" s="41">
        <f t="shared" si="9"/>
        <v>0</v>
      </c>
      <c r="Y29" s="42">
        <f>Y30+Y31</f>
        <v>37694.300000000003</v>
      </c>
      <c r="Z29" s="42">
        <f>Z30+Z31</f>
        <v>0</v>
      </c>
      <c r="AA29" s="41">
        <f t="shared" si="10"/>
        <v>0</v>
      </c>
      <c r="AB29" s="42">
        <f>AB30+AB31</f>
        <v>37971.5</v>
      </c>
      <c r="AC29" s="40">
        <f>AC30+AC31</f>
        <v>0</v>
      </c>
      <c r="AD29" s="41">
        <f t="shared" si="11"/>
        <v>0</v>
      </c>
      <c r="AE29" s="42">
        <f>AE30+AE31</f>
        <v>33569.599999999999</v>
      </c>
      <c r="AF29" s="42">
        <f>AF30+AF31</f>
        <v>0</v>
      </c>
      <c r="AG29" s="41">
        <f t="shared" si="12"/>
        <v>0</v>
      </c>
      <c r="AH29" s="42">
        <f>AH30+AH31</f>
        <v>30941.599999999999</v>
      </c>
      <c r="AI29" s="42">
        <f>AI30+AI31</f>
        <v>0</v>
      </c>
      <c r="AJ29" s="41">
        <f t="shared" si="13"/>
        <v>0</v>
      </c>
      <c r="AK29" s="42">
        <f>AK30+AK31</f>
        <v>31834.5</v>
      </c>
      <c r="AL29" s="42">
        <f>AL30+AL31</f>
        <v>0</v>
      </c>
      <c r="AM29" s="41">
        <f t="shared" si="14"/>
        <v>0</v>
      </c>
      <c r="AN29" s="95">
        <f>AN30+AN31</f>
        <v>28131.7</v>
      </c>
      <c r="AO29" s="42">
        <v>0</v>
      </c>
      <c r="AP29" s="42">
        <v>0</v>
      </c>
      <c r="AQ29" s="19"/>
    </row>
    <row r="30" spans="1:43" ht="26.25" customHeight="1" x14ac:dyDescent="0.25">
      <c r="A30" s="168"/>
      <c r="B30" s="154"/>
      <c r="C30" s="18" t="s">
        <v>22</v>
      </c>
      <c r="D30" s="52">
        <f>G30+J30+M30+P30+S30+V30+Y30+AB30+AE30+AH30+AK30+AN30</f>
        <v>401852.79999999993</v>
      </c>
      <c r="E30" s="48">
        <f>H30+K30+N30+Q30+T30+W30+Z30+AC30+AF30+AI30+AL30+AO30</f>
        <v>19</v>
      </c>
      <c r="F30" s="33">
        <v>0</v>
      </c>
      <c r="G30" s="38">
        <v>13280.8</v>
      </c>
      <c r="H30" s="33">
        <v>19</v>
      </c>
      <c r="I30" s="35">
        <f>H30/G30*100</f>
        <v>0.14306367086320101</v>
      </c>
      <c r="J30" s="38">
        <v>32638.799999999999</v>
      </c>
      <c r="K30" s="35">
        <v>0</v>
      </c>
      <c r="L30" s="35">
        <v>0</v>
      </c>
      <c r="M30" s="38">
        <v>35797.5</v>
      </c>
      <c r="N30" s="39">
        <v>0</v>
      </c>
      <c r="O30" s="35">
        <v>0</v>
      </c>
      <c r="P30" s="38">
        <v>33901.699999999997</v>
      </c>
      <c r="Q30" s="39">
        <v>0</v>
      </c>
      <c r="R30" s="36">
        <f t="shared" si="7"/>
        <v>0</v>
      </c>
      <c r="S30" s="38">
        <v>41351.1</v>
      </c>
      <c r="T30" s="39">
        <v>0</v>
      </c>
      <c r="U30" s="35">
        <f t="shared" si="8"/>
        <v>0</v>
      </c>
      <c r="V30" s="38">
        <v>44739.7</v>
      </c>
      <c r="W30" s="48">
        <v>0</v>
      </c>
      <c r="X30" s="35"/>
      <c r="Y30" s="38">
        <v>37694.300000000003</v>
      </c>
      <c r="Z30" s="39">
        <v>0</v>
      </c>
      <c r="AA30" s="35">
        <f t="shared" si="10"/>
        <v>0</v>
      </c>
      <c r="AB30" s="38">
        <v>37971.5</v>
      </c>
      <c r="AC30" s="39">
        <v>0</v>
      </c>
      <c r="AD30" s="35">
        <v>0</v>
      </c>
      <c r="AE30" s="38">
        <v>33569.599999999999</v>
      </c>
      <c r="AF30" s="39">
        <v>0</v>
      </c>
      <c r="AG30" s="35">
        <v>0</v>
      </c>
      <c r="AH30" s="38">
        <v>30941.599999999999</v>
      </c>
      <c r="AI30" s="39">
        <v>0</v>
      </c>
      <c r="AJ30" s="35">
        <v>0</v>
      </c>
      <c r="AK30" s="38">
        <v>31834.5</v>
      </c>
      <c r="AL30" s="39">
        <v>0</v>
      </c>
      <c r="AM30" s="35">
        <v>0</v>
      </c>
      <c r="AN30" s="93">
        <v>28131.7</v>
      </c>
      <c r="AO30" s="39">
        <v>0</v>
      </c>
      <c r="AP30" s="89">
        <v>0</v>
      </c>
      <c r="AQ30" s="22"/>
    </row>
    <row r="31" spans="1:43" ht="26.25" customHeight="1" x14ac:dyDescent="0.25">
      <c r="A31" s="168"/>
      <c r="B31" s="154"/>
      <c r="C31" s="21" t="s">
        <v>23</v>
      </c>
      <c r="D31" s="52">
        <f>G31+J31+M31+P31+S31+V31+Y31+AB31+AE31+AH31+AK31+AN31</f>
        <v>0</v>
      </c>
      <c r="E31" s="48">
        <f t="shared" si="1"/>
        <v>0</v>
      </c>
      <c r="F31" s="33" t="e">
        <f t="shared" si="2"/>
        <v>#DIV/0!</v>
      </c>
      <c r="G31" s="38">
        <v>0</v>
      </c>
      <c r="H31" s="33">
        <v>0</v>
      </c>
      <c r="I31" s="35" t="e">
        <f t="shared" si="4"/>
        <v>#DIV/0!</v>
      </c>
      <c r="J31" s="38">
        <v>0</v>
      </c>
      <c r="K31" s="35">
        <v>0</v>
      </c>
      <c r="L31" s="35" t="e">
        <f t="shared" si="5"/>
        <v>#DIV/0!</v>
      </c>
      <c r="M31" s="38">
        <v>0</v>
      </c>
      <c r="N31" s="39">
        <v>0</v>
      </c>
      <c r="O31" s="35" t="e">
        <f t="shared" si="6"/>
        <v>#DIV/0!</v>
      </c>
      <c r="P31" s="38">
        <v>0</v>
      </c>
      <c r="Q31" s="39">
        <v>0</v>
      </c>
      <c r="R31" s="36" t="e">
        <f t="shared" si="7"/>
        <v>#DIV/0!</v>
      </c>
      <c r="S31" s="38">
        <v>0</v>
      </c>
      <c r="T31" s="39">
        <v>0</v>
      </c>
      <c r="U31" s="35" t="e">
        <f t="shared" si="8"/>
        <v>#DIV/0!</v>
      </c>
      <c r="V31" s="38">
        <v>0</v>
      </c>
      <c r="W31" s="48">
        <v>0</v>
      </c>
      <c r="X31" s="35" t="e">
        <f t="shared" si="9"/>
        <v>#DIV/0!</v>
      </c>
      <c r="Y31" s="38">
        <v>0</v>
      </c>
      <c r="Z31" s="39">
        <v>0</v>
      </c>
      <c r="AA31" s="35" t="e">
        <f t="shared" si="10"/>
        <v>#DIV/0!</v>
      </c>
      <c r="AB31" s="38">
        <v>0</v>
      </c>
      <c r="AC31" s="39">
        <v>0</v>
      </c>
      <c r="AD31" s="35" t="e">
        <f t="shared" si="11"/>
        <v>#DIV/0!</v>
      </c>
      <c r="AE31" s="38">
        <v>0</v>
      </c>
      <c r="AF31" s="39">
        <v>0</v>
      </c>
      <c r="AG31" s="35" t="e">
        <f t="shared" si="12"/>
        <v>#DIV/0!</v>
      </c>
      <c r="AH31" s="38">
        <v>0</v>
      </c>
      <c r="AI31" s="39">
        <v>0</v>
      </c>
      <c r="AJ31" s="35">
        <v>0</v>
      </c>
      <c r="AK31" s="38">
        <v>0</v>
      </c>
      <c r="AL31" s="39">
        <v>0</v>
      </c>
      <c r="AM31" s="35" t="e">
        <f t="shared" si="14"/>
        <v>#DIV/0!</v>
      </c>
      <c r="AN31" s="93">
        <v>0</v>
      </c>
      <c r="AO31" s="39">
        <v>0</v>
      </c>
      <c r="AP31" s="89">
        <v>0</v>
      </c>
      <c r="AQ31" s="23"/>
    </row>
    <row r="32" spans="1:43" ht="26.25" customHeight="1" x14ac:dyDescent="0.25">
      <c r="A32" s="168"/>
      <c r="B32" s="154"/>
      <c r="C32" s="21" t="s">
        <v>24</v>
      </c>
      <c r="D32" s="52">
        <f t="shared" ref="D32:D33" si="19">G32+J32+M32+P32+S32+V32+Y32+AB32+AE32+AH32+AK32+AN32</f>
        <v>0</v>
      </c>
      <c r="E32" s="48">
        <f t="shared" si="1"/>
        <v>0</v>
      </c>
      <c r="F32" s="33">
        <v>0</v>
      </c>
      <c r="G32" s="38">
        <v>0</v>
      </c>
      <c r="H32" s="33">
        <v>0</v>
      </c>
      <c r="I32" s="35">
        <v>0</v>
      </c>
      <c r="J32" s="38">
        <v>0</v>
      </c>
      <c r="K32" s="35">
        <v>0</v>
      </c>
      <c r="L32" s="35">
        <v>0</v>
      </c>
      <c r="M32" s="38">
        <v>0</v>
      </c>
      <c r="N32" s="39">
        <v>0</v>
      </c>
      <c r="O32" s="35">
        <v>0</v>
      </c>
      <c r="P32" s="38">
        <v>0</v>
      </c>
      <c r="Q32" s="39">
        <v>0</v>
      </c>
      <c r="R32" s="36">
        <v>0</v>
      </c>
      <c r="S32" s="38">
        <v>0</v>
      </c>
      <c r="T32" s="39">
        <v>0</v>
      </c>
      <c r="U32" s="35">
        <v>0</v>
      </c>
      <c r="V32" s="38">
        <v>0</v>
      </c>
      <c r="W32" s="48">
        <v>0</v>
      </c>
      <c r="X32" s="35">
        <v>0</v>
      </c>
      <c r="Y32" s="38">
        <v>0</v>
      </c>
      <c r="Z32" s="39">
        <v>0</v>
      </c>
      <c r="AA32" s="35">
        <v>0</v>
      </c>
      <c r="AB32" s="38">
        <v>0</v>
      </c>
      <c r="AC32" s="96">
        <v>0</v>
      </c>
      <c r="AD32" s="35">
        <v>0</v>
      </c>
      <c r="AE32" s="38">
        <v>0</v>
      </c>
      <c r="AF32" s="39">
        <v>0</v>
      </c>
      <c r="AG32" s="35">
        <v>0</v>
      </c>
      <c r="AH32" s="38">
        <v>0</v>
      </c>
      <c r="AI32" s="39">
        <v>0</v>
      </c>
      <c r="AJ32" s="35">
        <v>0</v>
      </c>
      <c r="AK32" s="38">
        <v>0</v>
      </c>
      <c r="AL32" s="39">
        <v>0</v>
      </c>
      <c r="AM32" s="35">
        <v>0</v>
      </c>
      <c r="AN32" s="93">
        <v>0</v>
      </c>
      <c r="AO32" s="39">
        <v>0</v>
      </c>
      <c r="AP32" s="39">
        <v>0</v>
      </c>
      <c r="AQ32" s="23"/>
    </row>
    <row r="33" spans="1:43" ht="26.25" customHeight="1" x14ac:dyDescent="0.25">
      <c r="A33" s="169"/>
      <c r="B33" s="155"/>
      <c r="C33" s="18" t="s">
        <v>25</v>
      </c>
      <c r="D33" s="52">
        <f t="shared" si="19"/>
        <v>0</v>
      </c>
      <c r="E33" s="48">
        <f t="shared" si="1"/>
        <v>0</v>
      </c>
      <c r="F33" s="33">
        <v>0</v>
      </c>
      <c r="G33" s="38">
        <v>0</v>
      </c>
      <c r="H33" s="33">
        <v>0</v>
      </c>
      <c r="I33" s="35">
        <v>0</v>
      </c>
      <c r="J33" s="38">
        <v>0</v>
      </c>
      <c r="K33" s="35">
        <v>0</v>
      </c>
      <c r="L33" s="35">
        <v>0</v>
      </c>
      <c r="M33" s="38">
        <v>0</v>
      </c>
      <c r="N33" s="39">
        <v>0</v>
      </c>
      <c r="O33" s="35">
        <v>0</v>
      </c>
      <c r="P33" s="38">
        <v>0</v>
      </c>
      <c r="Q33" s="39">
        <v>0</v>
      </c>
      <c r="R33" s="36">
        <v>0</v>
      </c>
      <c r="S33" s="38">
        <v>0</v>
      </c>
      <c r="T33" s="39">
        <v>0</v>
      </c>
      <c r="U33" s="35">
        <v>0</v>
      </c>
      <c r="V33" s="38">
        <v>0</v>
      </c>
      <c r="W33" s="48">
        <v>0</v>
      </c>
      <c r="X33" s="35">
        <v>0</v>
      </c>
      <c r="Y33" s="38">
        <v>0</v>
      </c>
      <c r="Z33" s="39">
        <v>0</v>
      </c>
      <c r="AA33" s="35">
        <v>0</v>
      </c>
      <c r="AB33" s="93">
        <v>0</v>
      </c>
      <c r="AC33" s="39">
        <v>0</v>
      </c>
      <c r="AD33" s="35">
        <v>0</v>
      </c>
      <c r="AE33" s="38">
        <v>0</v>
      </c>
      <c r="AF33" s="39">
        <v>0</v>
      </c>
      <c r="AG33" s="35">
        <v>0</v>
      </c>
      <c r="AH33" s="38">
        <v>0</v>
      </c>
      <c r="AI33" s="39">
        <v>0</v>
      </c>
      <c r="AJ33" s="35">
        <v>0</v>
      </c>
      <c r="AK33" s="38">
        <v>0</v>
      </c>
      <c r="AL33" s="39">
        <v>0</v>
      </c>
      <c r="AM33" s="35">
        <v>0</v>
      </c>
      <c r="AN33" s="38">
        <v>0</v>
      </c>
      <c r="AO33" s="39">
        <v>0</v>
      </c>
      <c r="AP33" s="39">
        <v>0</v>
      </c>
      <c r="AQ33" s="23"/>
    </row>
    <row r="34" spans="1:43" x14ac:dyDescent="0.25">
      <c r="A34" s="3"/>
      <c r="B34" s="71"/>
      <c r="C34" s="70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1"/>
      <c r="X34" s="2"/>
      <c r="Y34" s="2"/>
      <c r="Z34" s="1"/>
      <c r="AA34" s="1"/>
      <c r="AB34" s="2"/>
      <c r="AC34" s="17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7"/>
      <c r="AO34" s="27"/>
      <c r="AP34" s="28"/>
      <c r="AQ34" s="28"/>
    </row>
    <row r="35" spans="1:43" x14ac:dyDescent="0.25">
      <c r="A35" s="3"/>
      <c r="B35" s="170" t="s">
        <v>44</v>
      </c>
      <c r="C35" s="170"/>
      <c r="D35" s="170"/>
      <c r="E35" s="170"/>
      <c r="F35" s="170"/>
      <c r="G35" s="170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1"/>
      <c r="X35" s="2"/>
      <c r="Y35" s="2"/>
      <c r="Z35" s="1"/>
      <c r="AA35" s="1"/>
      <c r="AB35" s="2"/>
      <c r="AC35" s="17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7"/>
      <c r="AO35" s="27"/>
      <c r="AP35" s="28"/>
      <c r="AQ35" s="28"/>
    </row>
    <row r="36" spans="1:43" ht="32.25" customHeight="1" x14ac:dyDescent="0.25">
      <c r="A36" s="3"/>
      <c r="B36" s="166" t="s">
        <v>42</v>
      </c>
      <c r="C36" s="166"/>
      <c r="D36" s="166"/>
      <c r="E36" s="166"/>
      <c r="F36" s="166"/>
      <c r="G36" s="166"/>
      <c r="H36" s="166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7"/>
      <c r="AP36" s="28"/>
      <c r="AQ36" s="28"/>
    </row>
    <row r="37" spans="1:43" x14ac:dyDescent="0.25">
      <c r="B37" t="s">
        <v>45</v>
      </c>
      <c r="G37" s="45"/>
      <c r="M37" s="45"/>
    </row>
  </sheetData>
  <mergeCells count="38">
    <mergeCell ref="AA1:AH1"/>
    <mergeCell ref="V11:X11"/>
    <mergeCell ref="Y11:AA11"/>
    <mergeCell ref="AB11:AD11"/>
    <mergeCell ref="AE11:AG11"/>
    <mergeCell ref="C5:W5"/>
    <mergeCell ref="C6:W6"/>
    <mergeCell ref="C7:W7"/>
    <mergeCell ref="AL9:AP9"/>
    <mergeCell ref="A29:A33"/>
    <mergeCell ref="B29:B33"/>
    <mergeCell ref="B35:G35"/>
    <mergeCell ref="B36:H36"/>
    <mergeCell ref="A19:A23"/>
    <mergeCell ref="B19:B23"/>
    <mergeCell ref="A24:A28"/>
    <mergeCell ref="B24:B28"/>
    <mergeCell ref="A14:A18"/>
    <mergeCell ref="B14:B18"/>
    <mergeCell ref="G11:I11"/>
    <mergeCell ref="J11:L11"/>
    <mergeCell ref="M11:O11"/>
    <mergeCell ref="AI1:AP1"/>
    <mergeCell ref="AE3:AH3"/>
    <mergeCell ref="AM3:AP3"/>
    <mergeCell ref="AA2:AP2"/>
    <mergeCell ref="A10:A12"/>
    <mergeCell ref="B10:B12"/>
    <mergeCell ref="C10:C12"/>
    <mergeCell ref="D10:F11"/>
    <mergeCell ref="Y10:AD10"/>
    <mergeCell ref="D1:O1"/>
    <mergeCell ref="AL10:AP10"/>
    <mergeCell ref="AH11:AJ11"/>
    <mergeCell ref="AK11:AM11"/>
    <mergeCell ref="AN11:AP11"/>
    <mergeCell ref="P11:R11"/>
    <mergeCell ref="S11:U11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65" fitToWidth="0" orientation="landscape" r:id="rId1"/>
  <colBreaks count="2" manualBreakCount="2">
    <brk id="21" max="1048575" man="1"/>
    <brk id="4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7"/>
  <sheetViews>
    <sheetView view="pageBreakPreview" zoomScale="70" zoomScaleNormal="100" zoomScaleSheetLayoutView="70" workbookViewId="0">
      <selection activeCell="B4" sqref="B4:B8"/>
    </sheetView>
  </sheetViews>
  <sheetFormatPr defaultRowHeight="15" x14ac:dyDescent="0.25"/>
  <cols>
    <col min="1" max="1" width="4.5703125" customWidth="1"/>
    <col min="2" max="2" width="27.28515625" customWidth="1"/>
    <col min="3" max="3" width="9.28515625" customWidth="1"/>
    <col min="4" max="4" width="10.28515625" customWidth="1"/>
    <col min="5" max="5" width="10" customWidth="1"/>
    <col min="6" max="6" width="7.5703125" customWidth="1"/>
    <col min="7" max="8" width="9.28515625" customWidth="1"/>
    <col min="9" max="9" width="7.7109375" customWidth="1"/>
    <col min="10" max="10" width="9.28515625" customWidth="1"/>
    <col min="11" max="11" width="11.28515625" customWidth="1"/>
    <col min="12" max="12" width="8" customWidth="1"/>
    <col min="13" max="13" width="8.28515625" customWidth="1"/>
    <col min="14" max="14" width="8.5703125" style="32" customWidth="1"/>
    <col min="15" max="15" width="7.28515625" customWidth="1"/>
    <col min="16" max="17" width="9.28515625" style="32" customWidth="1"/>
    <col min="18" max="18" width="6.140625" style="32" customWidth="1"/>
    <col min="19" max="19" width="9.28515625" customWidth="1"/>
    <col min="20" max="20" width="9.28515625" style="32" customWidth="1"/>
    <col min="21" max="21" width="7.28515625" customWidth="1"/>
    <col min="22" max="22" width="10.85546875" customWidth="1"/>
    <col min="23" max="23" width="8.7109375" customWidth="1"/>
    <col min="24" max="24" width="5.7109375" customWidth="1"/>
    <col min="25" max="25" width="9.28515625" customWidth="1"/>
    <col min="26" max="26" width="8.28515625" customWidth="1"/>
    <col min="27" max="27" width="6" customWidth="1"/>
    <col min="28" max="28" width="8.42578125" customWidth="1"/>
    <col min="29" max="29" width="9.28515625" customWidth="1"/>
    <col min="30" max="30" width="5.7109375" customWidth="1"/>
    <col min="31" max="31" width="11.28515625" customWidth="1"/>
    <col min="32" max="32" width="7.28515625" customWidth="1"/>
    <col min="33" max="33" width="5.5703125" customWidth="1"/>
    <col min="34" max="34" width="10.5703125" customWidth="1"/>
    <col min="35" max="35" width="10.42578125" customWidth="1"/>
    <col min="36" max="36" width="5.7109375" customWidth="1"/>
    <col min="37" max="37" width="9.42578125" customWidth="1"/>
    <col min="38" max="38" width="10.28515625" customWidth="1"/>
    <col min="39" max="39" width="8.5703125" customWidth="1"/>
    <col min="40" max="40" width="8.140625" customWidth="1"/>
    <col min="41" max="42" width="4.5703125" customWidth="1"/>
    <col min="43" max="43" width="2.7109375" customWidth="1"/>
    <col min="45" max="45" width="7.28515625" customWidth="1"/>
    <col min="46" max="46" width="12.7109375" customWidth="1"/>
    <col min="47" max="47" width="13.28515625" customWidth="1"/>
    <col min="48" max="48" width="16.140625" customWidth="1"/>
    <col min="49" max="49" width="17.5703125" customWidth="1"/>
    <col min="50" max="50" width="13" customWidth="1"/>
    <col min="51" max="51" width="12.28515625" customWidth="1"/>
  </cols>
  <sheetData>
    <row r="1" spans="1:51" ht="15.75" x14ac:dyDescent="0.25">
      <c r="A1" s="4"/>
      <c r="B1" s="5"/>
      <c r="C1" s="6"/>
      <c r="D1" s="182" t="s">
        <v>32</v>
      </c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7"/>
      <c r="Q1" s="7"/>
      <c r="R1" s="8"/>
      <c r="S1" s="8"/>
      <c r="T1" s="8"/>
      <c r="U1" s="8"/>
      <c r="V1" s="8"/>
      <c r="W1" s="9"/>
      <c r="X1" s="8"/>
      <c r="Y1" s="8"/>
      <c r="Z1" s="9"/>
      <c r="AA1" s="9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4"/>
      <c r="AQ1" s="4"/>
      <c r="AR1" s="4"/>
      <c r="AS1" s="53"/>
      <c r="AT1" s="53" t="s">
        <v>33</v>
      </c>
      <c r="AU1" s="53"/>
      <c r="AV1" s="53"/>
      <c r="AW1" s="54"/>
      <c r="AX1" s="4"/>
      <c r="AY1" s="4"/>
    </row>
    <row r="2" spans="1:51" ht="15" customHeight="1" x14ac:dyDescent="0.25">
      <c r="A2" s="164" t="s">
        <v>0</v>
      </c>
      <c r="B2" s="164" t="s">
        <v>1</v>
      </c>
      <c r="C2" s="148" t="s">
        <v>2</v>
      </c>
      <c r="D2" s="183" t="s">
        <v>43</v>
      </c>
      <c r="E2" s="184"/>
      <c r="F2" s="185"/>
      <c r="G2" s="186" t="s">
        <v>3</v>
      </c>
      <c r="H2" s="187"/>
      <c r="I2" s="188"/>
      <c r="J2" s="186" t="s">
        <v>4</v>
      </c>
      <c r="K2" s="187"/>
      <c r="L2" s="188"/>
      <c r="M2" s="177" t="s">
        <v>5</v>
      </c>
      <c r="N2" s="178"/>
      <c r="O2" s="179"/>
      <c r="P2" s="177" t="s">
        <v>6</v>
      </c>
      <c r="Q2" s="178"/>
      <c r="R2" s="179"/>
      <c r="S2" s="175" t="s">
        <v>7</v>
      </c>
      <c r="T2" s="175"/>
      <c r="U2" s="175"/>
      <c r="V2" s="180" t="s">
        <v>8</v>
      </c>
      <c r="W2" s="180"/>
      <c r="X2" s="180"/>
      <c r="Y2" s="175" t="s">
        <v>9</v>
      </c>
      <c r="Z2" s="175"/>
      <c r="AA2" s="175"/>
      <c r="AB2" s="181" t="s">
        <v>10</v>
      </c>
      <c r="AC2" s="181"/>
      <c r="AD2" s="181"/>
      <c r="AE2" s="181" t="s">
        <v>11</v>
      </c>
      <c r="AF2" s="181"/>
      <c r="AG2" s="181"/>
      <c r="AH2" s="174" t="s">
        <v>12</v>
      </c>
      <c r="AI2" s="174"/>
      <c r="AJ2" s="174"/>
      <c r="AK2" s="175" t="s">
        <v>13</v>
      </c>
      <c r="AL2" s="175"/>
      <c r="AM2" s="175"/>
      <c r="AN2" s="176" t="s">
        <v>14</v>
      </c>
      <c r="AO2" s="176"/>
      <c r="AP2" s="176"/>
      <c r="AQ2" s="10"/>
      <c r="AR2" s="10"/>
      <c r="AS2" s="55"/>
      <c r="AT2" s="156" t="s">
        <v>94</v>
      </c>
      <c r="AU2" s="158" t="s">
        <v>34</v>
      </c>
      <c r="AV2" s="160" t="s">
        <v>35</v>
      </c>
      <c r="AW2" s="162" t="s">
        <v>36</v>
      </c>
      <c r="AX2" s="164" t="s">
        <v>1</v>
      </c>
      <c r="AY2" s="148" t="s">
        <v>2</v>
      </c>
    </row>
    <row r="3" spans="1:51" ht="25.5" x14ac:dyDescent="0.25">
      <c r="A3" s="165"/>
      <c r="B3" s="165"/>
      <c r="C3" s="149"/>
      <c r="D3" s="73" t="s">
        <v>15</v>
      </c>
      <c r="E3" s="72" t="s">
        <v>16</v>
      </c>
      <c r="F3" s="12" t="s">
        <v>17</v>
      </c>
      <c r="G3" s="13" t="s">
        <v>18</v>
      </c>
      <c r="H3" s="73" t="s">
        <v>19</v>
      </c>
      <c r="I3" s="14" t="s">
        <v>17</v>
      </c>
      <c r="J3" s="13" t="s">
        <v>18</v>
      </c>
      <c r="K3" s="73" t="s">
        <v>19</v>
      </c>
      <c r="L3" s="14" t="s">
        <v>17</v>
      </c>
      <c r="M3" s="13" t="s">
        <v>18</v>
      </c>
      <c r="N3" s="72" t="s">
        <v>19</v>
      </c>
      <c r="O3" s="14" t="s">
        <v>17</v>
      </c>
      <c r="P3" s="13" t="s">
        <v>18</v>
      </c>
      <c r="Q3" s="72" t="s">
        <v>19</v>
      </c>
      <c r="R3" s="72" t="s">
        <v>17</v>
      </c>
      <c r="S3" s="13" t="s">
        <v>18</v>
      </c>
      <c r="T3" s="72" t="s">
        <v>19</v>
      </c>
      <c r="U3" s="14" t="s">
        <v>17</v>
      </c>
      <c r="V3" s="13" t="s">
        <v>18</v>
      </c>
      <c r="W3" s="72" t="s">
        <v>19</v>
      </c>
      <c r="X3" s="14" t="s">
        <v>17</v>
      </c>
      <c r="Y3" s="13" t="s">
        <v>18</v>
      </c>
      <c r="Z3" s="72" t="s">
        <v>19</v>
      </c>
      <c r="AA3" s="73" t="s">
        <v>17</v>
      </c>
      <c r="AB3" s="13" t="s">
        <v>18</v>
      </c>
      <c r="AC3" s="72" t="s">
        <v>19</v>
      </c>
      <c r="AD3" s="14" t="s">
        <v>17</v>
      </c>
      <c r="AE3" s="13" t="s">
        <v>18</v>
      </c>
      <c r="AF3" s="72" t="s">
        <v>19</v>
      </c>
      <c r="AG3" s="14" t="s">
        <v>17</v>
      </c>
      <c r="AH3" s="13" t="s">
        <v>18</v>
      </c>
      <c r="AI3" s="72" t="s">
        <v>19</v>
      </c>
      <c r="AJ3" s="14" t="s">
        <v>17</v>
      </c>
      <c r="AK3" s="13" t="s">
        <v>18</v>
      </c>
      <c r="AL3" s="72" t="s">
        <v>19</v>
      </c>
      <c r="AM3" s="14" t="s">
        <v>17</v>
      </c>
      <c r="AN3" s="15" t="s">
        <v>18</v>
      </c>
      <c r="AO3" s="72" t="s">
        <v>19</v>
      </c>
      <c r="AP3" s="16" t="s">
        <v>17</v>
      </c>
      <c r="AQ3" s="10"/>
      <c r="AR3" s="10"/>
      <c r="AS3" s="56"/>
      <c r="AT3" s="157"/>
      <c r="AU3" s="159"/>
      <c r="AV3" s="161"/>
      <c r="AW3" s="163"/>
      <c r="AX3" s="165"/>
      <c r="AY3" s="149"/>
    </row>
    <row r="4" spans="1:51" ht="28.5" customHeight="1" x14ac:dyDescent="0.25">
      <c r="A4" s="171"/>
      <c r="B4" s="150" t="s">
        <v>98</v>
      </c>
      <c r="C4" s="18" t="s">
        <v>21</v>
      </c>
      <c r="D4" s="49">
        <f>G4+J4+M4+P4+S4+V4+Y4+AB4+AE4+AH4+AK4+AN4</f>
        <v>415765.2</v>
      </c>
      <c r="E4" s="49">
        <f>H4+K4+N4+Q4+T4+W4+Z4+AC4+AF4+AI4+AL4+AO4</f>
        <v>40909.945000000007</v>
      </c>
      <c r="F4" s="33">
        <f>E4/D4*100</f>
        <v>9.8396751339457946</v>
      </c>
      <c r="G4" s="34">
        <f>G9+G14+G19</f>
        <v>13280.8</v>
      </c>
      <c r="H4" s="35">
        <f t="shared" ref="H4:AP7" si="0">H9+H14+H19</f>
        <v>19047.86</v>
      </c>
      <c r="I4" s="34" t="e">
        <f t="shared" si="0"/>
        <v>#DIV/0!</v>
      </c>
      <c r="J4" s="34">
        <f t="shared" si="0"/>
        <v>32912.5</v>
      </c>
      <c r="K4" s="35">
        <f t="shared" si="0"/>
        <v>21862.085000000003</v>
      </c>
      <c r="L4" s="34" t="e">
        <f t="shared" si="0"/>
        <v>#DIV/0!</v>
      </c>
      <c r="M4" s="34">
        <f t="shared" si="0"/>
        <v>36868.1</v>
      </c>
      <c r="N4" s="36">
        <f t="shared" si="0"/>
        <v>0</v>
      </c>
      <c r="O4" s="34">
        <f t="shared" si="0"/>
        <v>0</v>
      </c>
      <c r="P4" s="34">
        <f t="shared" si="0"/>
        <v>34475.299999999996</v>
      </c>
      <c r="Q4" s="36">
        <f t="shared" si="0"/>
        <v>0</v>
      </c>
      <c r="R4" s="36">
        <f t="shared" si="0"/>
        <v>0</v>
      </c>
      <c r="S4" s="34">
        <f t="shared" si="0"/>
        <v>45564.3</v>
      </c>
      <c r="T4" s="36">
        <f t="shared" si="0"/>
        <v>0</v>
      </c>
      <c r="U4" s="34">
        <f t="shared" si="0"/>
        <v>0</v>
      </c>
      <c r="V4" s="34">
        <f t="shared" si="0"/>
        <v>47875.899999999994</v>
      </c>
      <c r="W4" s="46">
        <f>W5+W6+W7+W8</f>
        <v>0</v>
      </c>
      <c r="X4" s="34">
        <f t="shared" si="0"/>
        <v>0</v>
      </c>
      <c r="Y4" s="34">
        <f t="shared" si="0"/>
        <v>39916.300000000003</v>
      </c>
      <c r="Z4" s="34">
        <f t="shared" si="0"/>
        <v>0</v>
      </c>
      <c r="AA4" s="34">
        <f t="shared" si="0"/>
        <v>0</v>
      </c>
      <c r="AB4" s="34">
        <f t="shared" si="0"/>
        <v>38991</v>
      </c>
      <c r="AC4" s="34">
        <f t="shared" si="0"/>
        <v>0</v>
      </c>
      <c r="AD4" s="34">
        <f t="shared" si="0"/>
        <v>0</v>
      </c>
      <c r="AE4" s="34">
        <f t="shared" si="0"/>
        <v>34181.599999999999</v>
      </c>
      <c r="AF4" s="34">
        <f t="shared" si="0"/>
        <v>0</v>
      </c>
      <c r="AG4" s="34">
        <f t="shared" si="0"/>
        <v>0</v>
      </c>
      <c r="AH4" s="34">
        <f t="shared" si="0"/>
        <v>31096.699999999997</v>
      </c>
      <c r="AI4" s="34">
        <f t="shared" si="0"/>
        <v>0</v>
      </c>
      <c r="AJ4" s="34">
        <f t="shared" si="0"/>
        <v>0</v>
      </c>
      <c r="AK4" s="34">
        <f t="shared" si="0"/>
        <v>32071</v>
      </c>
      <c r="AL4" s="34">
        <f t="shared" si="0"/>
        <v>0</v>
      </c>
      <c r="AM4" s="34">
        <f t="shared" si="0"/>
        <v>0</v>
      </c>
      <c r="AN4" s="34">
        <f t="shared" si="0"/>
        <v>28531.7</v>
      </c>
      <c r="AO4" s="34">
        <f t="shared" si="0"/>
        <v>0</v>
      </c>
      <c r="AP4" s="34">
        <f t="shared" si="0"/>
        <v>0</v>
      </c>
      <c r="AQ4" s="19"/>
      <c r="AR4" s="20"/>
      <c r="AS4" s="57" t="s">
        <v>37</v>
      </c>
      <c r="AT4" s="79">
        <f>AT5+AT6+AT7+AT8</f>
        <v>415765.2</v>
      </c>
      <c r="AU4" s="80">
        <f>AT4-D4</f>
        <v>0</v>
      </c>
      <c r="AV4" s="81">
        <f>AV5+AV6+AV7+AV8</f>
        <v>40909.950000000004</v>
      </c>
      <c r="AW4" s="61">
        <f>AV4-E4</f>
        <v>4.9999999973806553E-3</v>
      </c>
      <c r="AX4" s="150" t="s">
        <v>20</v>
      </c>
      <c r="AY4" s="18" t="s">
        <v>21</v>
      </c>
    </row>
    <row r="5" spans="1:51" ht="39" customHeight="1" x14ac:dyDescent="0.25">
      <c r="A5" s="172"/>
      <c r="B5" s="151"/>
      <c r="C5" s="21" t="s">
        <v>22</v>
      </c>
      <c r="D5" s="51">
        <f>G5+J5+M5+P5+S5+V5+Y5+AB5+AE5+AH5+AK5+AN5</f>
        <v>413561.10000000003</v>
      </c>
      <c r="E5" s="51">
        <f t="shared" ref="E5:E23" si="1">H5+K5+N5+Q5+T5+W5+Z5+AC5+AF5+AI5+AL5+AO5</f>
        <v>40909.945000000007</v>
      </c>
      <c r="F5" s="33">
        <f t="shared" ref="F5:F21" si="2">E5/D5*100</f>
        <v>9.8921163039753992</v>
      </c>
      <c r="G5" s="34">
        <f>G10+G15+G20</f>
        <v>13280.8</v>
      </c>
      <c r="H5" s="35">
        <f t="shared" si="0"/>
        <v>19047.86</v>
      </c>
      <c r="I5" s="34" t="e">
        <f t="shared" si="0"/>
        <v>#DIV/0!</v>
      </c>
      <c r="J5" s="34">
        <f t="shared" si="0"/>
        <v>32912.5</v>
      </c>
      <c r="K5" s="35">
        <f t="shared" si="0"/>
        <v>21862.085000000003</v>
      </c>
      <c r="L5" s="34">
        <f t="shared" si="0"/>
        <v>2.2099447513812152</v>
      </c>
      <c r="M5" s="34">
        <f t="shared" si="0"/>
        <v>36815.800000000003</v>
      </c>
      <c r="N5" s="36">
        <f>N10+N15+N20</f>
        <v>0</v>
      </c>
      <c r="O5" s="34">
        <v>0</v>
      </c>
      <c r="P5" s="34">
        <f t="shared" si="0"/>
        <v>34357.899999999994</v>
      </c>
      <c r="Q5" s="36">
        <f t="shared" si="0"/>
        <v>0</v>
      </c>
      <c r="R5" s="36">
        <f t="shared" si="0"/>
        <v>0</v>
      </c>
      <c r="S5" s="34">
        <f t="shared" si="0"/>
        <v>43867.1</v>
      </c>
      <c r="T5" s="36">
        <f t="shared" si="0"/>
        <v>0</v>
      </c>
      <c r="U5" s="34">
        <f t="shared" si="0"/>
        <v>0</v>
      </c>
      <c r="V5" s="34">
        <f t="shared" si="0"/>
        <v>47827.5</v>
      </c>
      <c r="W5" s="46">
        <f t="shared" si="0"/>
        <v>0</v>
      </c>
      <c r="X5" s="34">
        <f t="shared" si="0"/>
        <v>0</v>
      </c>
      <c r="Y5" s="34">
        <f t="shared" si="0"/>
        <v>39916.300000000003</v>
      </c>
      <c r="Z5" s="34">
        <f t="shared" si="0"/>
        <v>0</v>
      </c>
      <c r="AA5" s="34">
        <f t="shared" si="0"/>
        <v>0</v>
      </c>
      <c r="AB5" s="34">
        <f t="shared" si="0"/>
        <v>38931.5</v>
      </c>
      <c r="AC5" s="34">
        <f t="shared" si="0"/>
        <v>0</v>
      </c>
      <c r="AD5" s="34">
        <f t="shared" si="0"/>
        <v>0</v>
      </c>
      <c r="AE5" s="34">
        <f t="shared" si="0"/>
        <v>34030.1</v>
      </c>
      <c r="AF5" s="34">
        <f t="shared" si="0"/>
        <v>0</v>
      </c>
      <c r="AG5" s="34">
        <f t="shared" si="0"/>
        <v>0</v>
      </c>
      <c r="AH5" s="34">
        <f t="shared" si="0"/>
        <v>31049.899999999998</v>
      </c>
      <c r="AI5" s="34">
        <f t="shared" si="0"/>
        <v>0</v>
      </c>
      <c r="AJ5" s="34">
        <f t="shared" si="0"/>
        <v>0</v>
      </c>
      <c r="AK5" s="34">
        <f t="shared" si="0"/>
        <v>32040</v>
      </c>
      <c r="AL5" s="34">
        <f t="shared" si="0"/>
        <v>0</v>
      </c>
      <c r="AM5" s="34">
        <f t="shared" si="0"/>
        <v>0</v>
      </c>
      <c r="AN5" s="34">
        <f t="shared" si="0"/>
        <v>28531.7</v>
      </c>
      <c r="AO5" s="34">
        <f t="shared" si="0"/>
        <v>0</v>
      </c>
      <c r="AP5" s="89">
        <v>0</v>
      </c>
      <c r="AQ5" s="22"/>
      <c r="AR5" s="10"/>
      <c r="AS5" s="62" t="s">
        <v>38</v>
      </c>
      <c r="AT5" s="79">
        <f>AT10+AT15+AT20</f>
        <v>413561.1</v>
      </c>
      <c r="AU5" s="80">
        <f t="shared" ref="AU5:AU23" si="3">AT5-D5</f>
        <v>0</v>
      </c>
      <c r="AV5" s="81">
        <f>AV10+AV15+AV20</f>
        <v>40909.950000000004</v>
      </c>
      <c r="AW5" s="61">
        <f t="shared" ref="AW5:AW23" si="4">AV5-E5</f>
        <v>4.9999999973806553E-3</v>
      </c>
      <c r="AX5" s="151"/>
      <c r="AY5" s="21" t="s">
        <v>22</v>
      </c>
    </row>
    <row r="6" spans="1:51" ht="26.25" customHeight="1" x14ac:dyDescent="0.25">
      <c r="A6" s="172"/>
      <c r="B6" s="151"/>
      <c r="C6" s="21" t="s">
        <v>23</v>
      </c>
      <c r="D6" s="51">
        <f t="shared" ref="D6:D18" si="5">G6+J6+M6+P6+S6+V6+Y6+AB6+AE6+AH6+AK6+AN6</f>
        <v>2186.9000000000005</v>
      </c>
      <c r="E6" s="51">
        <f>H6+K6+N6+Q6+T6+W6+Z6+AC6+AF6+AI6+AL6+AO6</f>
        <v>0</v>
      </c>
      <c r="F6" s="33">
        <f t="shared" si="2"/>
        <v>0</v>
      </c>
      <c r="G6" s="34">
        <f>G11+G16+G21</f>
        <v>0</v>
      </c>
      <c r="H6" s="35">
        <f>H11+H21</f>
        <v>0</v>
      </c>
      <c r="I6" s="35" t="e">
        <f t="shared" ref="I6:I21" si="6">H6/G6*100</f>
        <v>#DIV/0!</v>
      </c>
      <c r="J6" s="34">
        <f>J11+J16+J21</f>
        <v>0</v>
      </c>
      <c r="K6" s="35">
        <f>K11+K16+K21</f>
        <v>0</v>
      </c>
      <c r="L6" s="35" t="e">
        <f t="shared" ref="L6:L21" si="7">K6/J6*100</f>
        <v>#DIV/0!</v>
      </c>
      <c r="M6" s="34">
        <f>M11+M16+M21</f>
        <v>52.3</v>
      </c>
      <c r="N6" s="36">
        <f>N11+N16+N21</f>
        <v>0</v>
      </c>
      <c r="O6" s="35">
        <f t="shared" ref="O6:O21" si="8">N6/M6*100</f>
        <v>0</v>
      </c>
      <c r="P6" s="34">
        <f t="shared" si="0"/>
        <v>117.4</v>
      </c>
      <c r="Q6" s="36">
        <f>Q11+Q16+Q21</f>
        <v>0</v>
      </c>
      <c r="R6" s="36">
        <f t="shared" ref="R6:R21" si="9">Q6/P6*100</f>
        <v>0</v>
      </c>
      <c r="S6" s="37">
        <f t="shared" si="0"/>
        <v>1697.2</v>
      </c>
      <c r="T6" s="36">
        <f>T11+T16+T21</f>
        <v>0</v>
      </c>
      <c r="U6" s="35">
        <f t="shared" ref="U6:U21" si="10">T6/S6*100</f>
        <v>0</v>
      </c>
      <c r="V6" s="37">
        <f t="shared" si="0"/>
        <v>48.4</v>
      </c>
      <c r="W6" s="47">
        <f>W11+W16+W21</f>
        <v>0</v>
      </c>
      <c r="X6" s="35">
        <f t="shared" ref="X6:X21" si="11">W6/V6*100</f>
        <v>0</v>
      </c>
      <c r="Y6" s="37">
        <f t="shared" si="0"/>
        <v>0</v>
      </c>
      <c r="Z6" s="36">
        <f>Z11+Z16+Z21</f>
        <v>0</v>
      </c>
      <c r="AA6" s="35" t="e">
        <f t="shared" ref="AA6:AA21" si="12">Z6/Y6*100</f>
        <v>#DIV/0!</v>
      </c>
      <c r="AB6" s="37">
        <f t="shared" si="0"/>
        <v>59.5</v>
      </c>
      <c r="AC6" s="36">
        <f>AC11+AC16+AC21</f>
        <v>0</v>
      </c>
      <c r="AD6" s="35">
        <f t="shared" ref="AD6:AD21" si="13">AC6/AB6*100</f>
        <v>0</v>
      </c>
      <c r="AE6" s="37">
        <f t="shared" si="0"/>
        <v>134.30000000000001</v>
      </c>
      <c r="AF6" s="36">
        <f>AF11+AF16+AF21</f>
        <v>0</v>
      </c>
      <c r="AG6" s="35">
        <f t="shared" ref="AG6:AG21" si="14">AF6/AE6*100</f>
        <v>0</v>
      </c>
      <c r="AH6" s="37">
        <f t="shared" si="0"/>
        <v>46.8</v>
      </c>
      <c r="AI6" s="36">
        <f>AI11+AI16+AI21</f>
        <v>0</v>
      </c>
      <c r="AJ6" s="35">
        <f t="shared" ref="AJ6:AJ19" si="15">AI6/AH6*100</f>
        <v>0</v>
      </c>
      <c r="AK6" s="37">
        <f t="shared" si="0"/>
        <v>31</v>
      </c>
      <c r="AL6" s="36">
        <v>0</v>
      </c>
      <c r="AM6" s="35">
        <f t="shared" ref="AM6:AM21" si="16">AL6/AK6*100</f>
        <v>0</v>
      </c>
      <c r="AN6" s="90">
        <f t="shared" si="0"/>
        <v>0</v>
      </c>
      <c r="AO6" s="36">
        <v>0</v>
      </c>
      <c r="AP6" s="91">
        <v>0</v>
      </c>
      <c r="AQ6" s="23"/>
      <c r="AR6" s="10"/>
      <c r="AS6" s="62" t="s">
        <v>39</v>
      </c>
      <c r="AT6" s="79">
        <f>AT11+AT16+AT21</f>
        <v>2186.9</v>
      </c>
      <c r="AU6" s="80">
        <f t="shared" si="3"/>
        <v>0</v>
      </c>
      <c r="AV6" s="81">
        <f>AV11+AV16+AV21</f>
        <v>0</v>
      </c>
      <c r="AW6" s="61">
        <f>AV6-E6</f>
        <v>0</v>
      </c>
      <c r="AX6" s="151"/>
      <c r="AY6" s="21" t="s">
        <v>23</v>
      </c>
    </row>
    <row r="7" spans="1:51" ht="26.25" customHeight="1" x14ac:dyDescent="0.25">
      <c r="A7" s="172"/>
      <c r="B7" s="151"/>
      <c r="C7" s="21" t="s">
        <v>24</v>
      </c>
      <c r="D7" s="51">
        <f>G7+J7+M7+P7+S7+V7+Y7+AB7+AE7+AH7+AK7+AN7</f>
        <v>17.2</v>
      </c>
      <c r="E7" s="51">
        <f t="shared" si="1"/>
        <v>0</v>
      </c>
      <c r="F7" s="33">
        <v>0</v>
      </c>
      <c r="G7" s="34">
        <f t="shared" ref="G7" si="17">G12+G17+G22</f>
        <v>0</v>
      </c>
      <c r="H7" s="35">
        <f>H12+H17+H22</f>
        <v>0</v>
      </c>
      <c r="I7" s="35">
        <v>0</v>
      </c>
      <c r="J7" s="34">
        <f t="shared" ref="J7" si="18">J12+J17+J22</f>
        <v>0</v>
      </c>
      <c r="K7" s="35">
        <v>0</v>
      </c>
      <c r="L7" s="35">
        <v>0</v>
      </c>
      <c r="M7" s="34">
        <f>M12+M17+M22</f>
        <v>0</v>
      </c>
      <c r="N7" s="36">
        <f>N12+N17+N22</f>
        <v>0</v>
      </c>
      <c r="O7" s="35">
        <v>0</v>
      </c>
      <c r="P7" s="34">
        <f t="shared" si="0"/>
        <v>0</v>
      </c>
      <c r="Q7" s="36">
        <f>Q12+Q16+Q22</f>
        <v>0</v>
      </c>
      <c r="R7" s="36">
        <v>0</v>
      </c>
      <c r="S7" s="34">
        <f t="shared" si="0"/>
        <v>0</v>
      </c>
      <c r="T7" s="36">
        <v>0</v>
      </c>
      <c r="U7" s="35">
        <v>0</v>
      </c>
      <c r="V7" s="34">
        <f t="shared" si="0"/>
        <v>0</v>
      </c>
      <c r="W7" s="47">
        <v>0</v>
      </c>
      <c r="X7" s="35">
        <v>0</v>
      </c>
      <c r="Y7" s="34">
        <v>0</v>
      </c>
      <c r="Z7" s="36">
        <v>0</v>
      </c>
      <c r="AA7" s="35">
        <v>0</v>
      </c>
      <c r="AB7" s="34">
        <v>0</v>
      </c>
      <c r="AC7" s="36">
        <v>0</v>
      </c>
      <c r="AD7" s="35">
        <v>0</v>
      </c>
      <c r="AE7" s="34">
        <f t="shared" si="0"/>
        <v>17.2</v>
      </c>
      <c r="AF7" s="36">
        <v>0</v>
      </c>
      <c r="AG7" s="35">
        <v>0</v>
      </c>
      <c r="AH7" s="34">
        <f t="shared" si="0"/>
        <v>0</v>
      </c>
      <c r="AI7" s="36">
        <v>0</v>
      </c>
      <c r="AJ7" s="35">
        <v>0</v>
      </c>
      <c r="AK7" s="34">
        <f t="shared" si="0"/>
        <v>0</v>
      </c>
      <c r="AL7" s="36">
        <v>0</v>
      </c>
      <c r="AM7" s="35">
        <v>0</v>
      </c>
      <c r="AN7" s="92">
        <f t="shared" si="0"/>
        <v>0</v>
      </c>
      <c r="AO7" s="36">
        <v>0</v>
      </c>
      <c r="AP7" s="91">
        <v>0</v>
      </c>
      <c r="AQ7" s="23"/>
      <c r="AR7" s="10"/>
      <c r="AS7" s="62" t="s">
        <v>40</v>
      </c>
      <c r="AT7" s="79">
        <f>AT12+AT17+AT22</f>
        <v>17.2</v>
      </c>
      <c r="AU7" s="80">
        <f t="shared" si="3"/>
        <v>0</v>
      </c>
      <c r="AV7" s="81">
        <f>AV12+AV17+AV22</f>
        <v>0</v>
      </c>
      <c r="AW7" s="61">
        <f t="shared" si="4"/>
        <v>0</v>
      </c>
      <c r="AX7" s="151"/>
      <c r="AY7" s="21" t="s">
        <v>24</v>
      </c>
    </row>
    <row r="8" spans="1:51" ht="26.25" customHeight="1" x14ac:dyDescent="0.25">
      <c r="A8" s="173"/>
      <c r="B8" s="152"/>
      <c r="C8" s="18" t="s">
        <v>25</v>
      </c>
      <c r="D8" s="51">
        <f t="shared" si="5"/>
        <v>0</v>
      </c>
      <c r="E8" s="51">
        <f t="shared" si="1"/>
        <v>0</v>
      </c>
      <c r="F8" s="33">
        <v>0</v>
      </c>
      <c r="G8" s="38">
        <v>0</v>
      </c>
      <c r="H8" s="33">
        <f>H13+H18+H23</f>
        <v>0</v>
      </c>
      <c r="I8" s="35">
        <v>0</v>
      </c>
      <c r="J8" s="38">
        <v>0</v>
      </c>
      <c r="K8" s="35">
        <v>0</v>
      </c>
      <c r="L8" s="35">
        <v>0</v>
      </c>
      <c r="M8" s="38">
        <v>0</v>
      </c>
      <c r="N8" s="39">
        <f>N13+N18+N23</f>
        <v>0</v>
      </c>
      <c r="O8" s="35">
        <v>0</v>
      </c>
      <c r="P8" s="38">
        <v>0</v>
      </c>
      <c r="Q8" s="39">
        <v>0</v>
      </c>
      <c r="R8" s="36">
        <v>0</v>
      </c>
      <c r="S8" s="38">
        <v>0</v>
      </c>
      <c r="T8" s="39">
        <v>0</v>
      </c>
      <c r="U8" s="35">
        <v>0</v>
      </c>
      <c r="V8" s="38">
        <v>0</v>
      </c>
      <c r="W8" s="48">
        <v>0</v>
      </c>
      <c r="X8" s="35">
        <v>0</v>
      </c>
      <c r="Y8" s="38">
        <v>0</v>
      </c>
      <c r="Z8" s="39">
        <v>0</v>
      </c>
      <c r="AA8" s="35">
        <v>0</v>
      </c>
      <c r="AB8" s="38">
        <v>0</v>
      </c>
      <c r="AC8" s="39">
        <v>0</v>
      </c>
      <c r="AD8" s="35">
        <v>0</v>
      </c>
      <c r="AE8" s="38">
        <v>0</v>
      </c>
      <c r="AF8" s="33">
        <v>0</v>
      </c>
      <c r="AG8" s="35">
        <v>0</v>
      </c>
      <c r="AH8" s="38">
        <v>0</v>
      </c>
      <c r="AI8" s="39">
        <v>0</v>
      </c>
      <c r="AJ8" s="35">
        <v>0</v>
      </c>
      <c r="AK8" s="38">
        <v>0</v>
      </c>
      <c r="AL8" s="39">
        <v>0</v>
      </c>
      <c r="AM8" s="35">
        <v>0</v>
      </c>
      <c r="AN8" s="93">
        <v>0</v>
      </c>
      <c r="AO8" s="39">
        <v>0</v>
      </c>
      <c r="AP8" s="39">
        <v>0</v>
      </c>
      <c r="AQ8" s="23"/>
      <c r="AR8" s="10"/>
      <c r="AS8" s="57" t="s">
        <v>41</v>
      </c>
      <c r="AT8" s="79">
        <f>AT13+AT18+AT23</f>
        <v>0</v>
      </c>
      <c r="AU8" s="80">
        <f t="shared" si="3"/>
        <v>0</v>
      </c>
      <c r="AV8" s="81">
        <f>AV13+AV18+AV23</f>
        <v>0</v>
      </c>
      <c r="AW8" s="61">
        <f t="shared" si="4"/>
        <v>0</v>
      </c>
      <c r="AX8" s="152"/>
      <c r="AY8" s="18" t="s">
        <v>25</v>
      </c>
    </row>
    <row r="9" spans="1:51" ht="39" customHeight="1" x14ac:dyDescent="0.25">
      <c r="A9" s="167" t="s">
        <v>26</v>
      </c>
      <c r="B9" s="153" t="s">
        <v>27</v>
      </c>
      <c r="C9" s="18" t="s">
        <v>21</v>
      </c>
      <c r="D9" s="49">
        <f>G9+J9+M9+P9+S9+V9+Y9+AB9+AE9+AH9+AK9+AN9</f>
        <v>8690.4</v>
      </c>
      <c r="E9" s="49">
        <f t="shared" si="1"/>
        <v>2.8</v>
      </c>
      <c r="F9" s="40">
        <f t="shared" ref="F9:O9" si="19">F10+F11+F12</f>
        <v>4.31679077440143E-2</v>
      </c>
      <c r="G9" s="40">
        <f t="shared" si="19"/>
        <v>0</v>
      </c>
      <c r="H9" s="40">
        <f t="shared" si="19"/>
        <v>0</v>
      </c>
      <c r="I9" s="40" t="e">
        <f t="shared" si="19"/>
        <v>#DIV/0!</v>
      </c>
      <c r="J9" s="40">
        <f t="shared" si="19"/>
        <v>126.7</v>
      </c>
      <c r="K9" s="40">
        <f t="shared" si="19"/>
        <v>2.8</v>
      </c>
      <c r="L9" s="40" t="e">
        <f t="shared" si="19"/>
        <v>#DIV/0!</v>
      </c>
      <c r="M9" s="40">
        <f t="shared" si="19"/>
        <v>175.2</v>
      </c>
      <c r="N9" s="40">
        <f t="shared" si="19"/>
        <v>0</v>
      </c>
      <c r="O9" s="40">
        <f t="shared" si="19"/>
        <v>0</v>
      </c>
      <c r="P9" s="40">
        <f>P10+P11+P12+P13</f>
        <v>136.6</v>
      </c>
      <c r="Q9" s="40">
        <f>Q10+Q11+Q12+Q13</f>
        <v>0</v>
      </c>
      <c r="R9" s="41">
        <f t="shared" si="9"/>
        <v>0</v>
      </c>
      <c r="S9" s="40">
        <f t="shared" ref="S9:AN9" si="20">S10+S11</f>
        <v>3511.1000000000004</v>
      </c>
      <c r="T9" s="40">
        <f>T10+T11+T12</f>
        <v>0</v>
      </c>
      <c r="U9" s="41">
        <f t="shared" si="10"/>
        <v>0</v>
      </c>
      <c r="V9" s="40">
        <f t="shared" si="20"/>
        <v>1939.2</v>
      </c>
      <c r="W9" s="49">
        <f>W10+W11+W13+W12</f>
        <v>0</v>
      </c>
      <c r="X9" s="41">
        <f t="shared" si="11"/>
        <v>0</v>
      </c>
      <c r="Y9" s="40">
        <f t="shared" si="20"/>
        <v>1822</v>
      </c>
      <c r="Z9" s="40">
        <f>Z10+Z11</f>
        <v>0</v>
      </c>
      <c r="AA9" s="41">
        <f t="shared" si="12"/>
        <v>0</v>
      </c>
      <c r="AB9" s="40">
        <f t="shared" si="20"/>
        <v>594</v>
      </c>
      <c r="AC9" s="40">
        <f>AC10+AC11</f>
        <v>0</v>
      </c>
      <c r="AD9" s="41">
        <f t="shared" si="13"/>
        <v>0</v>
      </c>
      <c r="AE9" s="40">
        <f>AE10+AE11+AE12</f>
        <v>294</v>
      </c>
      <c r="AF9" s="40">
        <f>AF10+AF11</f>
        <v>0</v>
      </c>
      <c r="AG9" s="41">
        <f t="shared" si="14"/>
        <v>0</v>
      </c>
      <c r="AH9" s="40">
        <f t="shared" si="20"/>
        <v>55.099999999999994</v>
      </c>
      <c r="AI9" s="40">
        <f>AI10+AI11</f>
        <v>0</v>
      </c>
      <c r="AJ9" s="41">
        <f t="shared" si="15"/>
        <v>0</v>
      </c>
      <c r="AK9" s="40">
        <f t="shared" si="20"/>
        <v>36.5</v>
      </c>
      <c r="AL9" s="40">
        <f>AL10+AL11</f>
        <v>0</v>
      </c>
      <c r="AM9" s="41">
        <f t="shared" si="16"/>
        <v>0</v>
      </c>
      <c r="AN9" s="40">
        <f t="shared" si="20"/>
        <v>0</v>
      </c>
      <c r="AO9" s="40">
        <v>0</v>
      </c>
      <c r="AP9" s="40">
        <v>0</v>
      </c>
      <c r="AQ9" s="19"/>
      <c r="AR9" s="82"/>
      <c r="AS9" s="83" t="s">
        <v>37</v>
      </c>
      <c r="AT9" s="84">
        <f>AT10+AT11+AT12</f>
        <v>8690.4000000000015</v>
      </c>
      <c r="AU9" s="85">
        <f t="shared" si="3"/>
        <v>0</v>
      </c>
      <c r="AV9" s="86">
        <f>AV10+AV11+AV12+AV13</f>
        <v>2.8</v>
      </c>
      <c r="AW9" s="87">
        <f t="shared" si="4"/>
        <v>0</v>
      </c>
      <c r="AX9" s="153" t="s">
        <v>27</v>
      </c>
      <c r="AY9" s="18" t="s">
        <v>21</v>
      </c>
    </row>
    <row r="10" spans="1:51" ht="26.25" customHeight="1" x14ac:dyDescent="0.25">
      <c r="A10" s="168"/>
      <c r="B10" s="154"/>
      <c r="C10" s="21" t="s">
        <v>22</v>
      </c>
      <c r="D10" s="51">
        <f>G10+J10+M10+P10+S10+V10+Y10+AB10+AE10+AH10+AK10+AN10</f>
        <v>6486.3</v>
      </c>
      <c r="E10" s="51">
        <f t="shared" si="1"/>
        <v>2.8</v>
      </c>
      <c r="F10" s="33">
        <f t="shared" si="2"/>
        <v>4.31679077440143E-2</v>
      </c>
      <c r="G10" s="38">
        <v>0</v>
      </c>
      <c r="H10" s="33">
        <v>0</v>
      </c>
      <c r="I10" s="35" t="e">
        <f t="shared" si="6"/>
        <v>#DIV/0!</v>
      </c>
      <c r="J10" s="38">
        <f>123.7+3</f>
        <v>126.7</v>
      </c>
      <c r="K10" s="118">
        <v>2.8</v>
      </c>
      <c r="L10" s="35">
        <f t="shared" si="7"/>
        <v>2.2099447513812152</v>
      </c>
      <c r="M10" s="38">
        <v>122.9</v>
      </c>
      <c r="N10" s="39">
        <v>0</v>
      </c>
      <c r="O10" s="35">
        <f t="shared" si="8"/>
        <v>0</v>
      </c>
      <c r="P10" s="38">
        <v>19.2</v>
      </c>
      <c r="Q10" s="39">
        <v>0</v>
      </c>
      <c r="R10" s="36">
        <f t="shared" si="9"/>
        <v>0</v>
      </c>
      <c r="S10" s="38">
        <v>1813.9</v>
      </c>
      <c r="T10" s="39">
        <v>0</v>
      </c>
      <c r="U10" s="35">
        <f t="shared" si="10"/>
        <v>0</v>
      </c>
      <c r="V10" s="38">
        <v>1890.8</v>
      </c>
      <c r="W10" s="48">
        <v>0</v>
      </c>
      <c r="X10" s="35">
        <f t="shared" si="11"/>
        <v>0</v>
      </c>
      <c r="Y10" s="38">
        <v>1822</v>
      </c>
      <c r="Z10" s="39">
        <v>0</v>
      </c>
      <c r="AA10" s="35">
        <f>Z10/Y10*100</f>
        <v>0</v>
      </c>
      <c r="AB10" s="38">
        <v>534.5</v>
      </c>
      <c r="AC10" s="39">
        <v>0</v>
      </c>
      <c r="AD10" s="35">
        <f t="shared" si="13"/>
        <v>0</v>
      </c>
      <c r="AE10" s="38">
        <v>142.5</v>
      </c>
      <c r="AF10" s="39">
        <v>0</v>
      </c>
      <c r="AG10" s="35">
        <v>0</v>
      </c>
      <c r="AH10" s="38">
        <v>8.3000000000000007</v>
      </c>
      <c r="AI10" s="39">
        <v>0</v>
      </c>
      <c r="AJ10" s="35">
        <v>0</v>
      </c>
      <c r="AK10" s="38">
        <v>5.5</v>
      </c>
      <c r="AL10" s="39">
        <v>0</v>
      </c>
      <c r="AM10" s="35">
        <f t="shared" si="16"/>
        <v>0</v>
      </c>
      <c r="AN10" s="93">
        <v>0</v>
      </c>
      <c r="AO10" s="39">
        <v>0</v>
      </c>
      <c r="AP10" s="89">
        <v>0</v>
      </c>
      <c r="AQ10" s="22"/>
      <c r="AR10" s="10"/>
      <c r="AS10" s="62" t="s">
        <v>38</v>
      </c>
      <c r="AT10" s="66">
        <v>6486.3</v>
      </c>
      <c r="AU10" s="59">
        <f>AT10-D10</f>
        <v>0</v>
      </c>
      <c r="AV10" s="68">
        <v>2.8</v>
      </c>
      <c r="AW10" s="61">
        <f t="shared" si="4"/>
        <v>0</v>
      </c>
      <c r="AX10" s="154"/>
      <c r="AY10" s="21" t="s">
        <v>22</v>
      </c>
    </row>
    <row r="11" spans="1:51" ht="26.25" customHeight="1" x14ac:dyDescent="0.25">
      <c r="A11" s="168"/>
      <c r="B11" s="154"/>
      <c r="C11" s="18" t="s">
        <v>23</v>
      </c>
      <c r="D11" s="51">
        <f>G11+J11+M11+P11+S11+V11+Y11+AB11+AE11+AH11+AK11+AN11</f>
        <v>2186.9000000000005</v>
      </c>
      <c r="E11" s="51">
        <f t="shared" si="1"/>
        <v>0</v>
      </c>
      <c r="F11" s="33">
        <f t="shared" si="2"/>
        <v>0</v>
      </c>
      <c r="G11" s="38">
        <v>0</v>
      </c>
      <c r="H11" s="33">
        <v>0</v>
      </c>
      <c r="I11" s="35" t="e">
        <f t="shared" si="6"/>
        <v>#DIV/0!</v>
      </c>
      <c r="J11" s="38">
        <v>0</v>
      </c>
      <c r="K11" s="35">
        <v>0</v>
      </c>
      <c r="L11" s="35" t="e">
        <f t="shared" si="7"/>
        <v>#DIV/0!</v>
      </c>
      <c r="M11" s="38">
        <v>52.3</v>
      </c>
      <c r="N11" s="39">
        <v>0</v>
      </c>
      <c r="O11" s="35">
        <f t="shared" si="8"/>
        <v>0</v>
      </c>
      <c r="P11" s="38">
        <v>117.4</v>
      </c>
      <c r="Q11" s="39">
        <v>0</v>
      </c>
      <c r="R11" s="36">
        <f t="shared" si="9"/>
        <v>0</v>
      </c>
      <c r="S11" s="38">
        <v>1697.2</v>
      </c>
      <c r="T11" s="39">
        <v>0</v>
      </c>
      <c r="U11" s="35">
        <f t="shared" si="10"/>
        <v>0</v>
      </c>
      <c r="V11" s="38">
        <v>48.4</v>
      </c>
      <c r="W11" s="48">
        <v>0</v>
      </c>
      <c r="X11" s="35">
        <f t="shared" si="11"/>
        <v>0</v>
      </c>
      <c r="Y11" s="38">
        <v>0</v>
      </c>
      <c r="Z11" s="39">
        <v>0</v>
      </c>
      <c r="AA11" s="35" t="e">
        <f t="shared" si="12"/>
        <v>#DIV/0!</v>
      </c>
      <c r="AB11" s="38">
        <v>59.5</v>
      </c>
      <c r="AC11" s="39">
        <v>0</v>
      </c>
      <c r="AD11" s="35">
        <f t="shared" si="13"/>
        <v>0</v>
      </c>
      <c r="AE11" s="38">
        <v>134.30000000000001</v>
      </c>
      <c r="AF11" s="39">
        <v>0</v>
      </c>
      <c r="AG11" s="35">
        <f t="shared" si="14"/>
        <v>0</v>
      </c>
      <c r="AH11" s="38">
        <v>46.8</v>
      </c>
      <c r="AI11" s="39">
        <v>0</v>
      </c>
      <c r="AJ11" s="35">
        <v>0</v>
      </c>
      <c r="AK11" s="38">
        <v>31</v>
      </c>
      <c r="AL11" s="39">
        <v>0</v>
      </c>
      <c r="AM11" s="35">
        <v>0</v>
      </c>
      <c r="AN11" s="93">
        <v>0</v>
      </c>
      <c r="AO11" s="39">
        <v>0</v>
      </c>
      <c r="AP11" s="89">
        <v>0</v>
      </c>
      <c r="AQ11" s="23"/>
      <c r="AR11" s="10"/>
      <c r="AS11" s="62" t="s">
        <v>39</v>
      </c>
      <c r="AT11" s="66">
        <v>2186.9</v>
      </c>
      <c r="AU11" s="59">
        <f t="shared" si="3"/>
        <v>0</v>
      </c>
      <c r="AV11" s="68">
        <v>0</v>
      </c>
      <c r="AW11" s="61">
        <f t="shared" si="4"/>
        <v>0</v>
      </c>
      <c r="AX11" s="154"/>
      <c r="AY11" s="18" t="s">
        <v>23</v>
      </c>
    </row>
    <row r="12" spans="1:51" ht="26.25" customHeight="1" x14ac:dyDescent="0.25">
      <c r="A12" s="168"/>
      <c r="B12" s="154"/>
      <c r="C12" s="21" t="s">
        <v>24</v>
      </c>
      <c r="D12" s="51">
        <f t="shared" si="5"/>
        <v>17.2</v>
      </c>
      <c r="E12" s="51">
        <f t="shared" si="1"/>
        <v>0</v>
      </c>
      <c r="F12" s="33">
        <v>0</v>
      </c>
      <c r="G12" s="38">
        <v>0</v>
      </c>
      <c r="H12" s="33">
        <v>0</v>
      </c>
      <c r="I12" s="35">
        <v>0</v>
      </c>
      <c r="J12" s="38">
        <v>0</v>
      </c>
      <c r="K12" s="35">
        <v>0</v>
      </c>
      <c r="L12" s="35">
        <v>0</v>
      </c>
      <c r="M12" s="38">
        <v>0</v>
      </c>
      <c r="N12" s="39">
        <v>0</v>
      </c>
      <c r="O12" s="35">
        <v>0</v>
      </c>
      <c r="P12" s="38">
        <v>0</v>
      </c>
      <c r="Q12" s="39">
        <v>0</v>
      </c>
      <c r="R12" s="36">
        <v>0</v>
      </c>
      <c r="S12" s="38">
        <v>0</v>
      </c>
      <c r="T12" s="39">
        <v>0</v>
      </c>
      <c r="U12" s="35">
        <v>0</v>
      </c>
      <c r="V12" s="38">
        <v>0</v>
      </c>
      <c r="W12" s="48">
        <v>0</v>
      </c>
      <c r="X12" s="35">
        <v>0</v>
      </c>
      <c r="Y12" s="38">
        <v>0</v>
      </c>
      <c r="Z12" s="39">
        <v>0</v>
      </c>
      <c r="AA12" s="35">
        <v>0</v>
      </c>
      <c r="AB12" s="38">
        <v>0</v>
      </c>
      <c r="AC12" s="39">
        <v>0</v>
      </c>
      <c r="AD12" s="35">
        <v>0</v>
      </c>
      <c r="AE12" s="38">
        <v>17.2</v>
      </c>
      <c r="AF12" s="39">
        <v>0</v>
      </c>
      <c r="AG12" s="35">
        <v>0</v>
      </c>
      <c r="AH12" s="38">
        <v>0</v>
      </c>
      <c r="AI12" s="39">
        <v>0</v>
      </c>
      <c r="AJ12" s="35">
        <v>0</v>
      </c>
      <c r="AK12" s="38">
        <v>0</v>
      </c>
      <c r="AL12" s="39">
        <v>0</v>
      </c>
      <c r="AM12" s="35">
        <v>0</v>
      </c>
      <c r="AN12" s="93">
        <v>0</v>
      </c>
      <c r="AO12" s="39">
        <v>0</v>
      </c>
      <c r="AP12" s="89">
        <v>0</v>
      </c>
      <c r="AQ12" s="23"/>
      <c r="AR12" s="10"/>
      <c r="AS12" s="62" t="s">
        <v>40</v>
      </c>
      <c r="AT12" s="66">
        <v>17.2</v>
      </c>
      <c r="AU12" s="59">
        <f t="shared" si="3"/>
        <v>0</v>
      </c>
      <c r="AV12" s="68">
        <v>0</v>
      </c>
      <c r="AW12" s="61">
        <f t="shared" si="4"/>
        <v>0</v>
      </c>
      <c r="AX12" s="154"/>
      <c r="AY12" s="21" t="s">
        <v>24</v>
      </c>
    </row>
    <row r="13" spans="1:51" ht="26.25" customHeight="1" x14ac:dyDescent="0.25">
      <c r="A13" s="169"/>
      <c r="B13" s="155"/>
      <c r="C13" s="18" t="s">
        <v>25</v>
      </c>
      <c r="D13" s="51">
        <f t="shared" si="5"/>
        <v>0</v>
      </c>
      <c r="E13" s="51">
        <f t="shared" si="1"/>
        <v>0</v>
      </c>
      <c r="F13" s="33">
        <v>0</v>
      </c>
      <c r="G13" s="38">
        <v>0</v>
      </c>
      <c r="H13" s="33">
        <v>0</v>
      </c>
      <c r="I13" s="35">
        <v>0</v>
      </c>
      <c r="J13" s="38">
        <v>0</v>
      </c>
      <c r="K13" s="35">
        <v>0</v>
      </c>
      <c r="L13" s="35">
        <v>0</v>
      </c>
      <c r="M13" s="38">
        <v>0</v>
      </c>
      <c r="N13" s="39">
        <v>0</v>
      </c>
      <c r="O13" s="35">
        <v>0</v>
      </c>
      <c r="P13" s="38">
        <v>0</v>
      </c>
      <c r="Q13" s="39">
        <v>0</v>
      </c>
      <c r="R13" s="36">
        <v>0</v>
      </c>
      <c r="S13" s="38">
        <v>0</v>
      </c>
      <c r="T13" s="39">
        <v>0</v>
      </c>
      <c r="U13" s="35">
        <v>0</v>
      </c>
      <c r="V13" s="38">
        <v>0</v>
      </c>
      <c r="W13" s="48">
        <v>0</v>
      </c>
      <c r="X13" s="35">
        <v>0</v>
      </c>
      <c r="Y13" s="38">
        <v>0</v>
      </c>
      <c r="Z13" s="39">
        <v>0</v>
      </c>
      <c r="AA13" s="35">
        <v>0</v>
      </c>
      <c r="AB13" s="38">
        <v>0</v>
      </c>
      <c r="AC13" s="39">
        <v>0</v>
      </c>
      <c r="AD13" s="35">
        <v>0</v>
      </c>
      <c r="AE13" s="38">
        <v>0</v>
      </c>
      <c r="AF13" s="39">
        <v>0</v>
      </c>
      <c r="AG13" s="35">
        <v>0</v>
      </c>
      <c r="AH13" s="38">
        <v>0</v>
      </c>
      <c r="AI13" s="39">
        <v>0</v>
      </c>
      <c r="AJ13" s="35">
        <v>0</v>
      </c>
      <c r="AK13" s="38">
        <v>0</v>
      </c>
      <c r="AL13" s="39">
        <v>0</v>
      </c>
      <c r="AM13" s="35">
        <v>0</v>
      </c>
      <c r="AN13" s="93">
        <v>0</v>
      </c>
      <c r="AO13" s="39">
        <v>0</v>
      </c>
      <c r="AP13" s="39">
        <v>0</v>
      </c>
      <c r="AQ13" s="23"/>
      <c r="AR13" s="10"/>
      <c r="AS13" s="57" t="s">
        <v>41</v>
      </c>
      <c r="AT13" s="58">
        <v>0</v>
      </c>
      <c r="AU13" s="59">
        <f t="shared" si="3"/>
        <v>0</v>
      </c>
      <c r="AV13" s="60">
        <v>0</v>
      </c>
      <c r="AW13" s="61">
        <f t="shared" si="4"/>
        <v>0</v>
      </c>
      <c r="AX13" s="155"/>
      <c r="AY13" s="18" t="s">
        <v>25</v>
      </c>
    </row>
    <row r="14" spans="1:51" ht="37.5" customHeight="1" x14ac:dyDescent="0.25">
      <c r="A14" s="167" t="s">
        <v>30</v>
      </c>
      <c r="B14" s="153" t="s">
        <v>28</v>
      </c>
      <c r="C14" s="18" t="s">
        <v>21</v>
      </c>
      <c r="D14" s="49">
        <f>G14+J14+M14+P14+S14+V14+Y14+AB14+AE14+AH14+AK14+AN14</f>
        <v>5225</v>
      </c>
      <c r="E14" s="49">
        <f t="shared" si="1"/>
        <v>40.53</v>
      </c>
      <c r="F14" s="40">
        <f t="shared" si="2"/>
        <v>0.77569377990430632</v>
      </c>
      <c r="G14" s="40">
        <f>G15+G16</f>
        <v>0</v>
      </c>
      <c r="H14" s="40">
        <f>H15+H16+H17+H18</f>
        <v>0</v>
      </c>
      <c r="I14" s="41">
        <v>0</v>
      </c>
      <c r="J14" s="40">
        <f>J15+J16+J17</f>
        <v>150</v>
      </c>
      <c r="K14" s="41">
        <f>K15+K16+K17+K18</f>
        <v>40.53</v>
      </c>
      <c r="L14" s="41">
        <v>0</v>
      </c>
      <c r="M14" s="40">
        <f>M15+M16+M17</f>
        <v>895.4</v>
      </c>
      <c r="N14" s="40">
        <f>N15+N16+N17+N18</f>
        <v>0</v>
      </c>
      <c r="O14" s="41">
        <f t="shared" si="8"/>
        <v>0</v>
      </c>
      <c r="P14" s="40">
        <f>P15+P16+P17</f>
        <v>437</v>
      </c>
      <c r="Q14" s="40">
        <f>Q15+Q16+Q17+Q18</f>
        <v>0</v>
      </c>
      <c r="R14" s="41">
        <f t="shared" si="9"/>
        <v>0</v>
      </c>
      <c r="S14" s="40">
        <f>S15+S16+S17</f>
        <v>702.1</v>
      </c>
      <c r="T14" s="40">
        <f>T15</f>
        <v>0</v>
      </c>
      <c r="U14" s="41">
        <f t="shared" si="10"/>
        <v>0</v>
      </c>
      <c r="V14" s="40">
        <f>V15+V16+V17</f>
        <v>1197</v>
      </c>
      <c r="W14" s="49">
        <f>W15+W16+W17+W18</f>
        <v>0</v>
      </c>
      <c r="X14" s="41">
        <f t="shared" si="11"/>
        <v>0</v>
      </c>
      <c r="Y14" s="40">
        <f>Y15+Y16+Y17</f>
        <v>400</v>
      </c>
      <c r="Z14" s="40">
        <f>Z15</f>
        <v>0</v>
      </c>
      <c r="AA14" s="41">
        <f t="shared" si="12"/>
        <v>0</v>
      </c>
      <c r="AB14" s="40">
        <f>AB15+AB16+AB17</f>
        <v>425.5</v>
      </c>
      <c r="AC14" s="40">
        <f>AC15</f>
        <v>0</v>
      </c>
      <c r="AD14" s="41">
        <f t="shared" si="13"/>
        <v>0</v>
      </c>
      <c r="AE14" s="40">
        <f>AE15+AE16</f>
        <v>318</v>
      </c>
      <c r="AF14" s="40">
        <f>AF15+AF16</f>
        <v>0</v>
      </c>
      <c r="AG14" s="41">
        <f t="shared" si="14"/>
        <v>0</v>
      </c>
      <c r="AH14" s="40">
        <f>AH15+AH16</f>
        <v>100</v>
      </c>
      <c r="AI14" s="40">
        <f>AI15</f>
        <v>0</v>
      </c>
      <c r="AJ14" s="41">
        <f t="shared" si="15"/>
        <v>0</v>
      </c>
      <c r="AK14" s="40">
        <f>AK15+AK16</f>
        <v>200</v>
      </c>
      <c r="AL14" s="40">
        <f>AL15</f>
        <v>0</v>
      </c>
      <c r="AM14" s="41">
        <f t="shared" si="16"/>
        <v>0</v>
      </c>
      <c r="AN14" s="94">
        <f>AN15+AN16</f>
        <v>400</v>
      </c>
      <c r="AO14" s="40">
        <v>0</v>
      </c>
      <c r="AP14" s="40">
        <v>0</v>
      </c>
      <c r="AQ14" s="19"/>
      <c r="AR14" s="82"/>
      <c r="AS14" s="83" t="s">
        <v>37</v>
      </c>
      <c r="AT14" s="84">
        <f>AT15+AT16+AT17+AT18</f>
        <v>5225</v>
      </c>
      <c r="AU14" s="85">
        <f t="shared" si="3"/>
        <v>0</v>
      </c>
      <c r="AV14" s="86">
        <f>AV15+AV16+AV17+AV18</f>
        <v>40.53</v>
      </c>
      <c r="AW14" s="87">
        <f t="shared" si="4"/>
        <v>0</v>
      </c>
      <c r="AX14" s="153" t="s">
        <v>28</v>
      </c>
      <c r="AY14" s="18" t="s">
        <v>21</v>
      </c>
    </row>
    <row r="15" spans="1:51" ht="26.25" customHeight="1" x14ac:dyDescent="0.25">
      <c r="A15" s="168"/>
      <c r="B15" s="154"/>
      <c r="C15" s="18" t="s">
        <v>22</v>
      </c>
      <c r="D15" s="51">
        <f>G15+J15+M15+P15+S15+V15+Y15+AB15+AE15+AH15+AK15+AN15</f>
        <v>5225</v>
      </c>
      <c r="E15" s="51">
        <f t="shared" si="1"/>
        <v>40.53</v>
      </c>
      <c r="F15" s="33">
        <f t="shared" si="2"/>
        <v>0.77569377990430632</v>
      </c>
      <c r="G15" s="38">
        <v>0</v>
      </c>
      <c r="H15" s="33">
        <v>0</v>
      </c>
      <c r="I15" s="35"/>
      <c r="J15" s="38">
        <v>150</v>
      </c>
      <c r="K15" s="118">
        <v>40.53</v>
      </c>
      <c r="L15" s="35">
        <v>0</v>
      </c>
      <c r="M15" s="38">
        <v>895.4</v>
      </c>
      <c r="N15" s="39">
        <v>0</v>
      </c>
      <c r="O15" s="35">
        <v>0</v>
      </c>
      <c r="P15" s="38">
        <v>437</v>
      </c>
      <c r="Q15" s="39">
        <v>0</v>
      </c>
      <c r="R15" s="36">
        <f t="shared" si="9"/>
        <v>0</v>
      </c>
      <c r="S15" s="38">
        <v>702.1</v>
      </c>
      <c r="T15" s="39">
        <v>0</v>
      </c>
      <c r="U15" s="35">
        <f t="shared" si="10"/>
        <v>0</v>
      </c>
      <c r="V15" s="38">
        <v>1197</v>
      </c>
      <c r="W15" s="48">
        <v>0</v>
      </c>
      <c r="X15" s="35">
        <f t="shared" si="11"/>
        <v>0</v>
      </c>
      <c r="Y15" s="38">
        <v>400</v>
      </c>
      <c r="Z15" s="39">
        <v>0</v>
      </c>
      <c r="AA15" s="35">
        <v>0</v>
      </c>
      <c r="AB15" s="38">
        <v>425.5</v>
      </c>
      <c r="AC15" s="39">
        <v>0</v>
      </c>
      <c r="AD15" s="35">
        <f t="shared" si="13"/>
        <v>0</v>
      </c>
      <c r="AE15" s="38">
        <v>318</v>
      </c>
      <c r="AF15" s="39">
        <v>0</v>
      </c>
      <c r="AG15" s="35">
        <f t="shared" si="14"/>
        <v>0</v>
      </c>
      <c r="AH15" s="38">
        <v>100</v>
      </c>
      <c r="AI15" s="39">
        <v>0</v>
      </c>
      <c r="AJ15" s="35">
        <f t="shared" si="15"/>
        <v>0</v>
      </c>
      <c r="AK15" s="38">
        <v>200</v>
      </c>
      <c r="AL15" s="39">
        <v>0</v>
      </c>
      <c r="AM15" s="35">
        <f t="shared" si="16"/>
        <v>0</v>
      </c>
      <c r="AN15" s="93">
        <v>400</v>
      </c>
      <c r="AO15" s="39">
        <v>0</v>
      </c>
      <c r="AP15" s="89">
        <v>0</v>
      </c>
      <c r="AQ15" s="22"/>
      <c r="AR15" s="10"/>
      <c r="AS15" s="62" t="s">
        <v>38</v>
      </c>
      <c r="AT15" s="66">
        <v>5225</v>
      </c>
      <c r="AU15" s="59">
        <f t="shared" si="3"/>
        <v>0</v>
      </c>
      <c r="AV15" s="68">
        <v>40.53</v>
      </c>
      <c r="AW15" s="61">
        <f t="shared" si="4"/>
        <v>0</v>
      </c>
      <c r="AX15" s="154"/>
      <c r="AY15" s="18" t="s">
        <v>22</v>
      </c>
    </row>
    <row r="16" spans="1:51" ht="26.25" customHeight="1" x14ac:dyDescent="0.25">
      <c r="A16" s="168"/>
      <c r="B16" s="154"/>
      <c r="C16" s="21" t="s">
        <v>23</v>
      </c>
      <c r="D16" s="51">
        <f>G16+J16+M16+P16+S16+V16+Y16+AB16+AE16+AH16+AK16+AN16</f>
        <v>0</v>
      </c>
      <c r="E16" s="51">
        <f t="shared" si="1"/>
        <v>0</v>
      </c>
      <c r="F16" s="33">
        <v>0</v>
      </c>
      <c r="G16" s="38">
        <v>0</v>
      </c>
      <c r="H16" s="33">
        <v>0</v>
      </c>
      <c r="I16" s="35">
        <v>0</v>
      </c>
      <c r="J16" s="38">
        <v>0</v>
      </c>
      <c r="K16" s="35">
        <v>0</v>
      </c>
      <c r="L16" s="35">
        <v>0</v>
      </c>
      <c r="M16" s="38">
        <v>0</v>
      </c>
      <c r="N16" s="39">
        <v>0</v>
      </c>
      <c r="O16" s="35">
        <v>0</v>
      </c>
      <c r="P16" s="38">
        <v>0</v>
      </c>
      <c r="Q16" s="39">
        <v>0</v>
      </c>
      <c r="R16" s="36">
        <v>0</v>
      </c>
      <c r="S16" s="38">
        <v>0</v>
      </c>
      <c r="T16" s="39">
        <v>0</v>
      </c>
      <c r="U16" s="35">
        <v>0</v>
      </c>
      <c r="V16" s="38">
        <v>0</v>
      </c>
      <c r="W16" s="48">
        <v>0</v>
      </c>
      <c r="X16" s="35">
        <v>0</v>
      </c>
      <c r="Y16" s="38">
        <v>0</v>
      </c>
      <c r="Z16" s="39">
        <v>0</v>
      </c>
      <c r="AA16" s="35">
        <v>0</v>
      </c>
      <c r="AB16" s="38">
        <v>0</v>
      </c>
      <c r="AC16" s="39">
        <v>0</v>
      </c>
      <c r="AD16" s="35">
        <v>0</v>
      </c>
      <c r="AE16" s="38">
        <v>0</v>
      </c>
      <c r="AF16" s="39">
        <v>0</v>
      </c>
      <c r="AG16" s="35">
        <v>0</v>
      </c>
      <c r="AH16" s="38">
        <v>0</v>
      </c>
      <c r="AI16" s="39">
        <v>0</v>
      </c>
      <c r="AJ16" s="35">
        <v>0</v>
      </c>
      <c r="AK16" s="38">
        <v>0</v>
      </c>
      <c r="AL16" s="39">
        <v>0</v>
      </c>
      <c r="AM16" s="35">
        <v>0</v>
      </c>
      <c r="AN16" s="93">
        <v>0</v>
      </c>
      <c r="AO16" s="39">
        <v>0</v>
      </c>
      <c r="AP16" s="89">
        <v>0</v>
      </c>
      <c r="AQ16" s="23"/>
      <c r="AR16" s="10"/>
      <c r="AS16" s="62" t="s">
        <v>39</v>
      </c>
      <c r="AT16" s="66">
        <v>0</v>
      </c>
      <c r="AU16" s="59">
        <f t="shared" si="3"/>
        <v>0</v>
      </c>
      <c r="AV16" s="68">
        <v>0</v>
      </c>
      <c r="AW16" s="61">
        <f t="shared" si="4"/>
        <v>0</v>
      </c>
      <c r="AX16" s="154"/>
      <c r="AY16" s="21" t="s">
        <v>23</v>
      </c>
    </row>
    <row r="17" spans="1:51" ht="26.25" customHeight="1" x14ac:dyDescent="0.25">
      <c r="A17" s="168"/>
      <c r="B17" s="154"/>
      <c r="C17" s="21" t="s">
        <v>24</v>
      </c>
      <c r="D17" s="51">
        <f t="shared" si="5"/>
        <v>0</v>
      </c>
      <c r="E17" s="51">
        <f t="shared" si="1"/>
        <v>0</v>
      </c>
      <c r="F17" s="33">
        <v>0</v>
      </c>
      <c r="G17" s="38">
        <v>0</v>
      </c>
      <c r="H17" s="33">
        <v>0</v>
      </c>
      <c r="I17" s="35">
        <v>0</v>
      </c>
      <c r="J17" s="38">
        <v>0</v>
      </c>
      <c r="K17" s="35">
        <v>0</v>
      </c>
      <c r="L17" s="35">
        <v>0</v>
      </c>
      <c r="M17" s="38">
        <v>0</v>
      </c>
      <c r="N17" s="39">
        <v>0</v>
      </c>
      <c r="O17" s="35">
        <v>0</v>
      </c>
      <c r="P17" s="38">
        <v>0</v>
      </c>
      <c r="Q17" s="39">
        <v>0</v>
      </c>
      <c r="R17" s="36">
        <v>0</v>
      </c>
      <c r="S17" s="38">
        <v>0</v>
      </c>
      <c r="T17" s="39">
        <v>0</v>
      </c>
      <c r="U17" s="35">
        <v>0</v>
      </c>
      <c r="V17" s="38">
        <v>0</v>
      </c>
      <c r="W17" s="48">
        <v>0</v>
      </c>
      <c r="X17" s="35">
        <v>0</v>
      </c>
      <c r="Y17" s="38">
        <v>0</v>
      </c>
      <c r="Z17" s="39">
        <v>0</v>
      </c>
      <c r="AA17" s="35">
        <v>0</v>
      </c>
      <c r="AB17" s="38">
        <v>0</v>
      </c>
      <c r="AC17" s="39">
        <v>0</v>
      </c>
      <c r="AD17" s="35">
        <v>0</v>
      </c>
      <c r="AE17" s="38">
        <v>0</v>
      </c>
      <c r="AF17" s="39">
        <v>0</v>
      </c>
      <c r="AG17" s="35">
        <v>0</v>
      </c>
      <c r="AH17" s="38">
        <v>0</v>
      </c>
      <c r="AI17" s="39">
        <v>0</v>
      </c>
      <c r="AJ17" s="35">
        <v>0</v>
      </c>
      <c r="AK17" s="38">
        <v>0</v>
      </c>
      <c r="AL17" s="39">
        <v>0</v>
      </c>
      <c r="AM17" s="35">
        <v>0</v>
      </c>
      <c r="AN17" s="93">
        <v>0</v>
      </c>
      <c r="AO17" s="39">
        <v>0</v>
      </c>
      <c r="AP17" s="39">
        <v>0</v>
      </c>
      <c r="AQ17" s="23"/>
      <c r="AR17" s="10"/>
      <c r="AS17" s="62" t="s">
        <v>40</v>
      </c>
      <c r="AT17" s="58">
        <v>0</v>
      </c>
      <c r="AU17" s="59">
        <f t="shared" si="3"/>
        <v>0</v>
      </c>
      <c r="AV17" s="60">
        <v>0</v>
      </c>
      <c r="AW17" s="61">
        <f t="shared" si="4"/>
        <v>0</v>
      </c>
      <c r="AX17" s="154"/>
      <c r="AY17" s="21" t="s">
        <v>24</v>
      </c>
    </row>
    <row r="18" spans="1:51" ht="26.25" customHeight="1" x14ac:dyDescent="0.25">
      <c r="A18" s="169"/>
      <c r="B18" s="155"/>
      <c r="C18" s="18" t="s">
        <v>25</v>
      </c>
      <c r="D18" s="51">
        <f t="shared" si="5"/>
        <v>0</v>
      </c>
      <c r="E18" s="51">
        <f t="shared" si="1"/>
        <v>0</v>
      </c>
      <c r="F18" s="33">
        <v>0</v>
      </c>
      <c r="G18" s="38">
        <v>0</v>
      </c>
      <c r="H18" s="33">
        <v>0</v>
      </c>
      <c r="I18" s="35">
        <v>0</v>
      </c>
      <c r="J18" s="38">
        <v>0</v>
      </c>
      <c r="K18" s="35">
        <v>0</v>
      </c>
      <c r="L18" s="35">
        <v>0</v>
      </c>
      <c r="M18" s="38">
        <v>0</v>
      </c>
      <c r="N18" s="39">
        <v>0</v>
      </c>
      <c r="O18" s="35">
        <v>0</v>
      </c>
      <c r="P18" s="38">
        <v>0</v>
      </c>
      <c r="Q18" s="39">
        <v>0</v>
      </c>
      <c r="R18" s="36">
        <v>0</v>
      </c>
      <c r="S18" s="38">
        <v>0</v>
      </c>
      <c r="T18" s="39">
        <v>0</v>
      </c>
      <c r="U18" s="35">
        <v>0</v>
      </c>
      <c r="V18" s="38">
        <v>0</v>
      </c>
      <c r="W18" s="48">
        <v>0</v>
      </c>
      <c r="X18" s="35">
        <v>0</v>
      </c>
      <c r="Y18" s="38">
        <v>0</v>
      </c>
      <c r="Z18" s="39">
        <v>0</v>
      </c>
      <c r="AA18" s="35">
        <v>0</v>
      </c>
      <c r="AB18" s="38">
        <v>0</v>
      </c>
      <c r="AC18" s="39">
        <v>0</v>
      </c>
      <c r="AD18" s="35">
        <v>0</v>
      </c>
      <c r="AE18" s="38">
        <v>0</v>
      </c>
      <c r="AF18" s="39">
        <v>0</v>
      </c>
      <c r="AG18" s="35">
        <v>0</v>
      </c>
      <c r="AH18" s="38">
        <v>0</v>
      </c>
      <c r="AI18" s="39">
        <v>0</v>
      </c>
      <c r="AJ18" s="35">
        <v>0</v>
      </c>
      <c r="AK18" s="38">
        <v>0</v>
      </c>
      <c r="AL18" s="39">
        <v>0</v>
      </c>
      <c r="AM18" s="35">
        <v>0</v>
      </c>
      <c r="AN18" s="93">
        <v>0</v>
      </c>
      <c r="AO18" s="39">
        <v>0</v>
      </c>
      <c r="AP18" s="39">
        <v>0</v>
      </c>
      <c r="AQ18" s="23"/>
      <c r="AR18" s="10"/>
      <c r="AS18" s="57" t="s">
        <v>41</v>
      </c>
      <c r="AT18" s="58">
        <v>0</v>
      </c>
      <c r="AU18" s="59">
        <f t="shared" si="3"/>
        <v>0</v>
      </c>
      <c r="AV18" s="60">
        <v>0</v>
      </c>
      <c r="AW18" s="61">
        <f t="shared" si="4"/>
        <v>0</v>
      </c>
      <c r="AX18" s="155"/>
      <c r="AY18" s="18" t="s">
        <v>25</v>
      </c>
    </row>
    <row r="19" spans="1:51" ht="39" customHeight="1" x14ac:dyDescent="0.25">
      <c r="A19" s="167" t="s">
        <v>31</v>
      </c>
      <c r="B19" s="153" t="s">
        <v>29</v>
      </c>
      <c r="C19" s="24" t="s">
        <v>21</v>
      </c>
      <c r="D19" s="50">
        <f>G19+J19+M19+P19+S19+V19+Y19+AB19+AE19+AH19+AK19+AN19</f>
        <v>401849.79999999993</v>
      </c>
      <c r="E19" s="49">
        <f t="shared" si="1"/>
        <v>40866.615000000005</v>
      </c>
      <c r="F19" s="40">
        <f t="shared" si="2"/>
        <v>10.169624322321427</v>
      </c>
      <c r="G19" s="42">
        <f>G20+G21</f>
        <v>13280.8</v>
      </c>
      <c r="H19" s="42">
        <f>H20+H21+H22+H23</f>
        <v>19047.86</v>
      </c>
      <c r="I19" s="41">
        <f t="shared" si="6"/>
        <v>143.42404072043854</v>
      </c>
      <c r="J19" s="42">
        <f>J20+J21</f>
        <v>32635.8</v>
      </c>
      <c r="K19" s="41">
        <f>K20+K21+K22+K23</f>
        <v>21818.755000000001</v>
      </c>
      <c r="L19" s="41">
        <f t="shared" si="7"/>
        <v>66.855278559128323</v>
      </c>
      <c r="M19" s="42">
        <f>M20+M21</f>
        <v>35797.5</v>
      </c>
      <c r="N19" s="42">
        <f>N20+N21+N22+N23</f>
        <v>0</v>
      </c>
      <c r="O19" s="41">
        <f t="shared" si="8"/>
        <v>0</v>
      </c>
      <c r="P19" s="42">
        <f>P20+P21</f>
        <v>33901.699999999997</v>
      </c>
      <c r="Q19" s="42">
        <f>Q20+Q21+Q22</f>
        <v>0</v>
      </c>
      <c r="R19" s="41">
        <f t="shared" si="9"/>
        <v>0</v>
      </c>
      <c r="S19" s="42">
        <f>S20+S21</f>
        <v>41351.1</v>
      </c>
      <c r="T19" s="42">
        <f>T20+T21+T22+T23</f>
        <v>0</v>
      </c>
      <c r="U19" s="41">
        <f t="shared" si="10"/>
        <v>0</v>
      </c>
      <c r="V19" s="42">
        <f>V20+V21</f>
        <v>44739.7</v>
      </c>
      <c r="W19" s="50">
        <f>W20+W21+W22+W23</f>
        <v>0</v>
      </c>
      <c r="X19" s="41">
        <f t="shared" si="11"/>
        <v>0</v>
      </c>
      <c r="Y19" s="42">
        <f>Y20+Y21</f>
        <v>37694.300000000003</v>
      </c>
      <c r="Z19" s="42">
        <f>Z20+Z21</f>
        <v>0</v>
      </c>
      <c r="AA19" s="41">
        <f t="shared" si="12"/>
        <v>0</v>
      </c>
      <c r="AB19" s="42">
        <f>AB20+AB21</f>
        <v>37971.5</v>
      </c>
      <c r="AC19" s="40">
        <f>AC20+AC21</f>
        <v>0</v>
      </c>
      <c r="AD19" s="41">
        <f t="shared" si="13"/>
        <v>0</v>
      </c>
      <c r="AE19" s="42">
        <f>AE20+AE21</f>
        <v>33569.599999999999</v>
      </c>
      <c r="AF19" s="42">
        <f>AF20+AF21</f>
        <v>0</v>
      </c>
      <c r="AG19" s="41">
        <f t="shared" si="14"/>
        <v>0</v>
      </c>
      <c r="AH19" s="42">
        <f>AH20+AH21</f>
        <v>30941.599999999999</v>
      </c>
      <c r="AI19" s="42">
        <f>AI20+AI21</f>
        <v>0</v>
      </c>
      <c r="AJ19" s="41">
        <f t="shared" si="15"/>
        <v>0</v>
      </c>
      <c r="AK19" s="42">
        <f>AK20+AK21</f>
        <v>31834.5</v>
      </c>
      <c r="AL19" s="42">
        <f>AL20+AL21</f>
        <v>0</v>
      </c>
      <c r="AM19" s="41">
        <f t="shared" si="16"/>
        <v>0</v>
      </c>
      <c r="AN19" s="95">
        <f>AN20+AN21</f>
        <v>28131.7</v>
      </c>
      <c r="AO19" s="42">
        <v>0</v>
      </c>
      <c r="AP19" s="42">
        <v>0</v>
      </c>
      <c r="AQ19" s="19"/>
      <c r="AR19" s="88"/>
      <c r="AS19" s="83" t="s">
        <v>37</v>
      </c>
      <c r="AT19" s="84">
        <f>AT20+AT21+AT22+AT23</f>
        <v>401849.8</v>
      </c>
      <c r="AU19" s="85">
        <f>AT19-D19</f>
        <v>0</v>
      </c>
      <c r="AV19" s="86">
        <f>AV20+AV21+AV22+AV23</f>
        <v>40866.620000000003</v>
      </c>
      <c r="AW19" s="87">
        <f>AV19-E19</f>
        <v>4.9999999973806553E-3</v>
      </c>
      <c r="AX19" s="153" t="s">
        <v>29</v>
      </c>
      <c r="AY19" s="24" t="s">
        <v>21</v>
      </c>
    </row>
    <row r="20" spans="1:51" ht="26.25" customHeight="1" x14ac:dyDescent="0.25">
      <c r="A20" s="168"/>
      <c r="B20" s="154"/>
      <c r="C20" s="18" t="s">
        <v>22</v>
      </c>
      <c r="D20" s="52">
        <f>G20+J20+M20+P20+S20+V20+Y20+AB20+AE20+AH20+AK20+AN20</f>
        <v>401849.79999999993</v>
      </c>
      <c r="E20" s="51">
        <f>H20+K20+N20+Q20+T20+W20+Z20+AC20+AF20+AI20+AL20+AO20</f>
        <v>40866.615000000005</v>
      </c>
      <c r="F20" s="33">
        <v>0</v>
      </c>
      <c r="G20" s="38">
        <v>13280.8</v>
      </c>
      <c r="H20" s="33">
        <v>19047.86</v>
      </c>
      <c r="I20" s="35">
        <f>H20/G20*100</f>
        <v>143.42404072043854</v>
      </c>
      <c r="J20" s="38">
        <f>32638.8-3</f>
        <v>32635.8</v>
      </c>
      <c r="K20" s="118">
        <v>21818.755000000001</v>
      </c>
      <c r="L20" s="35">
        <v>0</v>
      </c>
      <c r="M20" s="38">
        <v>35797.5</v>
      </c>
      <c r="N20" s="39">
        <v>0</v>
      </c>
      <c r="O20" s="35">
        <v>0</v>
      </c>
      <c r="P20" s="38">
        <v>33901.699999999997</v>
      </c>
      <c r="Q20" s="39">
        <v>0</v>
      </c>
      <c r="R20" s="36">
        <f t="shared" si="9"/>
        <v>0</v>
      </c>
      <c r="S20" s="38">
        <v>41351.1</v>
      </c>
      <c r="T20" s="39">
        <v>0</v>
      </c>
      <c r="U20" s="35">
        <f t="shared" si="10"/>
        <v>0</v>
      </c>
      <c r="V20" s="38">
        <v>44739.7</v>
      </c>
      <c r="W20" s="48">
        <v>0</v>
      </c>
      <c r="X20" s="35">
        <v>0</v>
      </c>
      <c r="Y20" s="38">
        <v>37694.300000000003</v>
      </c>
      <c r="Z20" s="39">
        <v>0</v>
      </c>
      <c r="AA20" s="35">
        <f t="shared" si="12"/>
        <v>0</v>
      </c>
      <c r="AB20" s="38">
        <v>37971.5</v>
      </c>
      <c r="AC20" s="39">
        <v>0</v>
      </c>
      <c r="AD20" s="35">
        <v>0</v>
      </c>
      <c r="AE20" s="38">
        <v>33569.599999999999</v>
      </c>
      <c r="AF20" s="39">
        <v>0</v>
      </c>
      <c r="AG20" s="35">
        <v>0</v>
      </c>
      <c r="AH20" s="38">
        <v>30941.599999999999</v>
      </c>
      <c r="AI20" s="39">
        <v>0</v>
      </c>
      <c r="AJ20" s="35">
        <v>0</v>
      </c>
      <c r="AK20" s="38">
        <v>31834.5</v>
      </c>
      <c r="AL20" s="39">
        <v>0</v>
      </c>
      <c r="AM20" s="35">
        <v>0</v>
      </c>
      <c r="AN20" s="93">
        <v>28131.7</v>
      </c>
      <c r="AO20" s="39">
        <v>0</v>
      </c>
      <c r="AP20" s="89">
        <v>0</v>
      </c>
      <c r="AQ20" s="22"/>
      <c r="AR20" s="10"/>
      <c r="AS20" s="62" t="s">
        <v>38</v>
      </c>
      <c r="AT20" s="66">
        <v>401849.8</v>
      </c>
      <c r="AU20" s="59">
        <f t="shared" si="3"/>
        <v>0</v>
      </c>
      <c r="AV20" s="68">
        <v>40866.620000000003</v>
      </c>
      <c r="AW20" s="61">
        <f>AV20-E20</f>
        <v>4.9999999973806553E-3</v>
      </c>
      <c r="AX20" s="154"/>
      <c r="AY20" s="18" t="s">
        <v>22</v>
      </c>
    </row>
    <row r="21" spans="1:51" ht="26.25" customHeight="1" x14ac:dyDescent="0.25">
      <c r="A21" s="168"/>
      <c r="B21" s="154"/>
      <c r="C21" s="21" t="s">
        <v>23</v>
      </c>
      <c r="D21" s="52">
        <f>G21+J21+M21+P21+S21+V21+Y21+AB21+AE21+AH21+AK21+AN21</f>
        <v>0</v>
      </c>
      <c r="E21" s="51">
        <f t="shared" si="1"/>
        <v>0</v>
      </c>
      <c r="F21" s="33" t="e">
        <f t="shared" si="2"/>
        <v>#DIV/0!</v>
      </c>
      <c r="G21" s="38">
        <v>0</v>
      </c>
      <c r="H21" s="33">
        <v>0</v>
      </c>
      <c r="I21" s="35" t="e">
        <f t="shared" si="6"/>
        <v>#DIV/0!</v>
      </c>
      <c r="J21" s="38">
        <v>0</v>
      </c>
      <c r="K21" s="35">
        <v>0</v>
      </c>
      <c r="L21" s="35" t="e">
        <f t="shared" si="7"/>
        <v>#DIV/0!</v>
      </c>
      <c r="M21" s="38">
        <v>0</v>
      </c>
      <c r="N21" s="39">
        <v>0</v>
      </c>
      <c r="O21" s="35" t="e">
        <f t="shared" si="8"/>
        <v>#DIV/0!</v>
      </c>
      <c r="P21" s="38">
        <v>0</v>
      </c>
      <c r="Q21" s="39">
        <v>0</v>
      </c>
      <c r="R21" s="36" t="e">
        <f t="shared" si="9"/>
        <v>#DIV/0!</v>
      </c>
      <c r="S21" s="38">
        <v>0</v>
      </c>
      <c r="T21" s="39">
        <v>0</v>
      </c>
      <c r="U21" s="35" t="e">
        <f t="shared" si="10"/>
        <v>#DIV/0!</v>
      </c>
      <c r="V21" s="38">
        <v>0</v>
      </c>
      <c r="W21" s="48">
        <v>0</v>
      </c>
      <c r="X21" s="35" t="e">
        <f t="shared" si="11"/>
        <v>#DIV/0!</v>
      </c>
      <c r="Y21" s="38">
        <v>0</v>
      </c>
      <c r="Z21" s="39">
        <v>0</v>
      </c>
      <c r="AA21" s="35" t="e">
        <f t="shared" si="12"/>
        <v>#DIV/0!</v>
      </c>
      <c r="AB21" s="38">
        <v>0</v>
      </c>
      <c r="AC21" s="39">
        <v>0</v>
      </c>
      <c r="AD21" s="35" t="e">
        <f t="shared" si="13"/>
        <v>#DIV/0!</v>
      </c>
      <c r="AE21" s="38">
        <v>0</v>
      </c>
      <c r="AF21" s="39">
        <v>0</v>
      </c>
      <c r="AG21" s="35" t="e">
        <f t="shared" si="14"/>
        <v>#DIV/0!</v>
      </c>
      <c r="AH21" s="38">
        <v>0</v>
      </c>
      <c r="AI21" s="39">
        <v>0</v>
      </c>
      <c r="AJ21" s="35">
        <v>0</v>
      </c>
      <c r="AK21" s="38">
        <v>0</v>
      </c>
      <c r="AL21" s="39">
        <v>0</v>
      </c>
      <c r="AM21" s="35" t="e">
        <f t="shared" si="16"/>
        <v>#DIV/0!</v>
      </c>
      <c r="AN21" s="93">
        <v>0</v>
      </c>
      <c r="AO21" s="39">
        <v>0</v>
      </c>
      <c r="AP21" s="89">
        <v>0</v>
      </c>
      <c r="AQ21" s="23"/>
      <c r="AR21" s="10"/>
      <c r="AS21" s="62" t="s">
        <v>39</v>
      </c>
      <c r="AT21" s="67">
        <v>0</v>
      </c>
      <c r="AU21" s="59">
        <f>AT21-D21</f>
        <v>0</v>
      </c>
      <c r="AV21" s="69"/>
      <c r="AW21" s="61">
        <f t="shared" si="4"/>
        <v>0</v>
      </c>
      <c r="AX21" s="154"/>
      <c r="AY21" s="21" t="s">
        <v>23</v>
      </c>
    </row>
    <row r="22" spans="1:51" ht="26.25" customHeight="1" x14ac:dyDescent="0.25">
      <c r="A22" s="168"/>
      <c r="B22" s="154"/>
      <c r="C22" s="21" t="s">
        <v>24</v>
      </c>
      <c r="D22" s="52">
        <f t="shared" ref="D22:D23" si="21">G22+J22+M22+P22+S22+V22+Y22+AB22+AE22+AH22+AK22+AN22</f>
        <v>0</v>
      </c>
      <c r="E22" s="51">
        <f t="shared" si="1"/>
        <v>0</v>
      </c>
      <c r="F22" s="33">
        <v>0</v>
      </c>
      <c r="G22" s="38">
        <v>0</v>
      </c>
      <c r="H22" s="33">
        <v>0</v>
      </c>
      <c r="I22" s="35">
        <v>0</v>
      </c>
      <c r="J22" s="38">
        <v>0</v>
      </c>
      <c r="K22" s="35">
        <v>0</v>
      </c>
      <c r="L22" s="35">
        <v>0</v>
      </c>
      <c r="M22" s="38">
        <v>0</v>
      </c>
      <c r="N22" s="39">
        <v>0</v>
      </c>
      <c r="O22" s="35">
        <v>0</v>
      </c>
      <c r="P22" s="38">
        <v>0</v>
      </c>
      <c r="Q22" s="39">
        <v>0</v>
      </c>
      <c r="R22" s="36">
        <v>0</v>
      </c>
      <c r="S22" s="38">
        <v>0</v>
      </c>
      <c r="T22" s="39">
        <v>0</v>
      </c>
      <c r="U22" s="35">
        <v>0</v>
      </c>
      <c r="V22" s="38">
        <v>0</v>
      </c>
      <c r="W22" s="48">
        <v>0</v>
      </c>
      <c r="X22" s="35">
        <v>0</v>
      </c>
      <c r="Y22" s="38">
        <v>0</v>
      </c>
      <c r="Z22" s="39">
        <v>0</v>
      </c>
      <c r="AA22" s="35">
        <v>0</v>
      </c>
      <c r="AB22" s="38">
        <v>0</v>
      </c>
      <c r="AC22" s="96">
        <v>0</v>
      </c>
      <c r="AD22" s="35">
        <v>0</v>
      </c>
      <c r="AE22" s="38">
        <v>0</v>
      </c>
      <c r="AF22" s="39">
        <v>0</v>
      </c>
      <c r="AG22" s="35">
        <v>0</v>
      </c>
      <c r="AH22" s="38">
        <v>0</v>
      </c>
      <c r="AI22" s="39">
        <v>0</v>
      </c>
      <c r="AJ22" s="35">
        <v>0</v>
      </c>
      <c r="AK22" s="38">
        <v>0</v>
      </c>
      <c r="AL22" s="39">
        <v>0</v>
      </c>
      <c r="AM22" s="35">
        <v>0</v>
      </c>
      <c r="AN22" s="93">
        <v>0</v>
      </c>
      <c r="AO22" s="39">
        <v>0</v>
      </c>
      <c r="AP22" s="39">
        <v>0</v>
      </c>
      <c r="AQ22" s="23"/>
      <c r="AR22" s="10"/>
      <c r="AS22" s="62" t="s">
        <v>40</v>
      </c>
      <c r="AT22" s="63">
        <v>0</v>
      </c>
      <c r="AU22" s="59">
        <f t="shared" si="3"/>
        <v>0</v>
      </c>
      <c r="AV22" s="64">
        <v>0</v>
      </c>
      <c r="AW22" s="61">
        <f t="shared" si="4"/>
        <v>0</v>
      </c>
      <c r="AX22" s="154"/>
      <c r="AY22" s="21" t="s">
        <v>24</v>
      </c>
    </row>
    <row r="23" spans="1:51" ht="26.25" customHeight="1" x14ac:dyDescent="0.25">
      <c r="A23" s="169"/>
      <c r="B23" s="155"/>
      <c r="C23" s="18" t="s">
        <v>25</v>
      </c>
      <c r="D23" s="52">
        <f t="shared" si="21"/>
        <v>0</v>
      </c>
      <c r="E23" s="51">
        <f t="shared" si="1"/>
        <v>0</v>
      </c>
      <c r="F23" s="33">
        <v>0</v>
      </c>
      <c r="G23" s="38">
        <v>0</v>
      </c>
      <c r="H23" s="33">
        <v>0</v>
      </c>
      <c r="I23" s="35">
        <v>0</v>
      </c>
      <c r="J23" s="38">
        <v>0</v>
      </c>
      <c r="K23" s="35">
        <v>0</v>
      </c>
      <c r="L23" s="35">
        <v>0</v>
      </c>
      <c r="M23" s="38">
        <v>0</v>
      </c>
      <c r="N23" s="39">
        <v>0</v>
      </c>
      <c r="O23" s="35">
        <v>0</v>
      </c>
      <c r="P23" s="38">
        <v>0</v>
      </c>
      <c r="Q23" s="39">
        <v>0</v>
      </c>
      <c r="R23" s="36">
        <v>0</v>
      </c>
      <c r="S23" s="38">
        <v>0</v>
      </c>
      <c r="T23" s="39">
        <v>0</v>
      </c>
      <c r="U23" s="35">
        <v>0</v>
      </c>
      <c r="V23" s="38">
        <v>0</v>
      </c>
      <c r="W23" s="48">
        <v>0</v>
      </c>
      <c r="X23" s="35">
        <v>0</v>
      </c>
      <c r="Y23" s="38">
        <v>0</v>
      </c>
      <c r="Z23" s="39">
        <v>0</v>
      </c>
      <c r="AA23" s="35">
        <v>0</v>
      </c>
      <c r="AB23" s="93">
        <v>0</v>
      </c>
      <c r="AC23" s="39">
        <v>0</v>
      </c>
      <c r="AD23" s="35">
        <v>0</v>
      </c>
      <c r="AE23" s="38">
        <v>0</v>
      </c>
      <c r="AF23" s="39">
        <v>0</v>
      </c>
      <c r="AG23" s="35">
        <v>0</v>
      </c>
      <c r="AH23" s="38">
        <v>0</v>
      </c>
      <c r="AI23" s="39">
        <v>0</v>
      </c>
      <c r="AJ23" s="35">
        <v>0</v>
      </c>
      <c r="AK23" s="38">
        <v>0</v>
      </c>
      <c r="AL23" s="39">
        <v>0</v>
      </c>
      <c r="AM23" s="35">
        <v>0</v>
      </c>
      <c r="AN23" s="38">
        <v>0</v>
      </c>
      <c r="AO23" s="39">
        <v>0</v>
      </c>
      <c r="AP23" s="39">
        <v>0</v>
      </c>
      <c r="AQ23" s="23"/>
      <c r="AR23" s="10"/>
      <c r="AS23" s="57" t="s">
        <v>41</v>
      </c>
      <c r="AT23" s="64">
        <v>0</v>
      </c>
      <c r="AU23" s="59">
        <f t="shared" si="3"/>
        <v>0</v>
      </c>
      <c r="AV23" s="64">
        <v>0</v>
      </c>
      <c r="AW23" s="61">
        <f t="shared" si="4"/>
        <v>0</v>
      </c>
      <c r="AX23" s="155"/>
      <c r="AY23" s="18" t="s">
        <v>25</v>
      </c>
    </row>
    <row r="24" spans="1:51" ht="15.75" x14ac:dyDescent="0.25">
      <c r="A24" s="3"/>
      <c r="B24" s="71"/>
      <c r="C24" s="70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1"/>
      <c r="X24" s="2"/>
      <c r="Y24" s="2"/>
      <c r="Z24" s="1"/>
      <c r="AA24" s="1"/>
      <c r="AB24" s="2"/>
      <c r="AC24" s="17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7"/>
      <c r="AO24" s="27"/>
      <c r="AP24" s="28"/>
      <c r="AQ24" s="28"/>
      <c r="AR24" s="3"/>
      <c r="AS24" s="55"/>
      <c r="AT24" s="55"/>
      <c r="AU24" s="55"/>
      <c r="AV24" s="55"/>
      <c r="AW24" s="65"/>
      <c r="AX24" s="3"/>
      <c r="AY24" s="3"/>
    </row>
    <row r="25" spans="1:51" ht="15.75" x14ac:dyDescent="0.25">
      <c r="A25" s="3"/>
      <c r="B25" s="170" t="s">
        <v>44</v>
      </c>
      <c r="C25" s="170"/>
      <c r="D25" s="170"/>
      <c r="E25" s="170"/>
      <c r="F25" s="170"/>
      <c r="G25" s="170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1"/>
      <c r="X25" s="2"/>
      <c r="Y25" s="2"/>
      <c r="Z25" s="1"/>
      <c r="AA25" s="1"/>
      <c r="AB25" s="2"/>
      <c r="AC25" s="17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7"/>
      <c r="AO25" s="27"/>
      <c r="AP25" s="28"/>
      <c r="AQ25" s="28"/>
      <c r="AR25" s="3"/>
      <c r="AS25" s="55"/>
      <c r="AT25" s="55"/>
      <c r="AU25" s="55"/>
      <c r="AV25" s="55"/>
      <c r="AW25" s="65"/>
      <c r="AX25" s="3"/>
      <c r="AY25" s="3"/>
    </row>
    <row r="26" spans="1:51" ht="32.25" customHeight="1" x14ac:dyDescent="0.25">
      <c r="A26" s="3"/>
      <c r="B26" s="166" t="s">
        <v>42</v>
      </c>
      <c r="C26" s="166"/>
      <c r="D26" s="166"/>
      <c r="E26" s="166"/>
      <c r="F26" s="166"/>
      <c r="G26" s="166"/>
      <c r="H26" s="166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7"/>
      <c r="AP26" s="28"/>
      <c r="AQ26" s="28"/>
      <c r="AR26" s="3"/>
      <c r="AS26" s="55"/>
      <c r="AT26" s="55"/>
      <c r="AU26" s="55"/>
      <c r="AV26" s="55"/>
      <c r="AW26" s="65"/>
      <c r="AX26" s="3"/>
      <c r="AY26" s="3"/>
    </row>
    <row r="27" spans="1:51" x14ac:dyDescent="0.25">
      <c r="B27" t="s">
        <v>45</v>
      </c>
      <c r="G27" s="45"/>
      <c r="M27" s="45"/>
    </row>
  </sheetData>
  <mergeCells count="37">
    <mergeCell ref="AB2:AD2"/>
    <mergeCell ref="AE2:AG2"/>
    <mergeCell ref="D1:O1"/>
    <mergeCell ref="A2:A3"/>
    <mergeCell ref="B2:B3"/>
    <mergeCell ref="C2:C3"/>
    <mergeCell ref="D2:F2"/>
    <mergeCell ref="G2:I2"/>
    <mergeCell ref="J2:L2"/>
    <mergeCell ref="M2:O2"/>
    <mergeCell ref="AW2:AW3"/>
    <mergeCell ref="AX2:AX3"/>
    <mergeCell ref="AY2:AY3"/>
    <mergeCell ref="A4:A8"/>
    <mergeCell ref="B4:B8"/>
    <mergeCell ref="AX4:AX8"/>
    <mergeCell ref="AH2:AJ2"/>
    <mergeCell ref="AK2:AM2"/>
    <mergeCell ref="AN2:AP2"/>
    <mergeCell ref="AT2:AT3"/>
    <mergeCell ref="AU2:AU3"/>
    <mergeCell ref="AV2:AV3"/>
    <mergeCell ref="P2:R2"/>
    <mergeCell ref="S2:U2"/>
    <mergeCell ref="V2:X2"/>
    <mergeCell ref="Y2:AA2"/>
    <mergeCell ref="A9:A13"/>
    <mergeCell ref="B9:B13"/>
    <mergeCell ref="AX9:AX13"/>
    <mergeCell ref="A14:A18"/>
    <mergeCell ref="B14:B18"/>
    <mergeCell ref="AX14:AX18"/>
    <mergeCell ref="A19:A23"/>
    <mergeCell ref="B19:B23"/>
    <mergeCell ref="AX19:AX23"/>
    <mergeCell ref="B25:G25"/>
    <mergeCell ref="B26:H26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68" fitToWidth="0" orientation="landscape" r:id="rId1"/>
  <colBreaks count="2" manualBreakCount="2">
    <brk id="21" max="1048575" man="1"/>
    <brk id="4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7"/>
  <sheetViews>
    <sheetView view="pageBreakPreview" zoomScale="70" zoomScaleNormal="100" zoomScaleSheetLayoutView="70" workbookViewId="0">
      <selection activeCell="B4" sqref="B4:B8"/>
    </sheetView>
  </sheetViews>
  <sheetFormatPr defaultRowHeight="15" x14ac:dyDescent="0.25"/>
  <cols>
    <col min="1" max="1" width="4.5703125" customWidth="1"/>
    <col min="2" max="2" width="27.28515625" customWidth="1"/>
    <col min="3" max="3" width="9.28515625" customWidth="1"/>
    <col min="4" max="4" width="10.28515625" customWidth="1"/>
    <col min="5" max="5" width="10" customWidth="1"/>
    <col min="6" max="6" width="7.5703125" customWidth="1"/>
    <col min="7" max="8" width="9.28515625" customWidth="1"/>
    <col min="9" max="9" width="9" customWidth="1"/>
    <col min="10" max="10" width="9.28515625" customWidth="1"/>
    <col min="11" max="11" width="11.28515625" customWidth="1"/>
    <col min="12" max="12" width="9" customWidth="1"/>
    <col min="13" max="13" width="8.28515625" customWidth="1"/>
    <col min="14" max="14" width="8.5703125" style="32" customWidth="1"/>
    <col min="15" max="15" width="7.28515625" customWidth="1"/>
    <col min="16" max="17" width="9.28515625" style="32" customWidth="1"/>
    <col min="18" max="18" width="6.140625" style="32" customWidth="1"/>
    <col min="19" max="19" width="9.28515625" customWidth="1"/>
    <col min="20" max="20" width="9.28515625" style="32" customWidth="1"/>
    <col min="21" max="21" width="7.28515625" customWidth="1"/>
    <col min="22" max="22" width="10.85546875" customWidth="1"/>
    <col min="23" max="23" width="8.7109375" customWidth="1"/>
    <col min="24" max="24" width="5.7109375" customWidth="1"/>
    <col min="25" max="25" width="9.28515625" customWidth="1"/>
    <col min="26" max="26" width="8.28515625" customWidth="1"/>
    <col min="27" max="27" width="6" customWidth="1"/>
    <col min="28" max="28" width="8.42578125" customWidth="1"/>
    <col min="29" max="29" width="9.28515625" customWidth="1"/>
    <col min="30" max="30" width="5.7109375" customWidth="1"/>
    <col min="31" max="31" width="11.28515625" customWidth="1"/>
    <col min="32" max="32" width="7.28515625" customWidth="1"/>
    <col min="33" max="33" width="5.5703125" customWidth="1"/>
    <col min="34" max="34" width="10.5703125" customWidth="1"/>
    <col min="35" max="35" width="10.42578125" customWidth="1"/>
    <col min="36" max="36" width="5.7109375" customWidth="1"/>
    <col min="37" max="37" width="9.42578125" customWidth="1"/>
    <col min="38" max="38" width="10.28515625" customWidth="1"/>
    <col min="39" max="39" width="8.5703125" customWidth="1"/>
    <col min="40" max="40" width="8.140625" customWidth="1"/>
    <col min="41" max="42" width="4.5703125" customWidth="1"/>
    <col min="43" max="43" width="2.7109375" customWidth="1"/>
    <col min="45" max="45" width="7.28515625" customWidth="1"/>
    <col min="46" max="46" width="12.7109375" customWidth="1"/>
    <col min="47" max="47" width="13.28515625" customWidth="1"/>
    <col min="48" max="48" width="16.140625" customWidth="1"/>
    <col min="49" max="49" width="17.5703125" customWidth="1"/>
    <col min="50" max="50" width="13" customWidth="1"/>
    <col min="51" max="51" width="12.28515625" customWidth="1"/>
  </cols>
  <sheetData>
    <row r="1" spans="1:51" ht="15.75" x14ac:dyDescent="0.25">
      <c r="A1" s="4"/>
      <c r="B1" s="5"/>
      <c r="C1" s="6"/>
      <c r="D1" s="182" t="s">
        <v>32</v>
      </c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7"/>
      <c r="Q1" s="7"/>
      <c r="R1" s="8"/>
      <c r="S1" s="8"/>
      <c r="T1" s="8"/>
      <c r="U1" s="8"/>
      <c r="V1" s="8"/>
      <c r="W1" s="9"/>
      <c r="X1" s="8"/>
      <c r="Y1" s="8"/>
      <c r="Z1" s="9"/>
      <c r="AA1" s="9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4"/>
      <c r="AQ1" s="4"/>
      <c r="AR1" s="4"/>
      <c r="AS1" s="53"/>
      <c r="AT1" s="53" t="s">
        <v>33</v>
      </c>
      <c r="AU1" s="53"/>
      <c r="AV1" s="53"/>
      <c r="AW1" s="54"/>
      <c r="AX1" s="4"/>
      <c r="AY1" s="4"/>
    </row>
    <row r="2" spans="1:51" ht="15" customHeight="1" x14ac:dyDescent="0.25">
      <c r="A2" s="164" t="s">
        <v>0</v>
      </c>
      <c r="B2" s="164" t="s">
        <v>1</v>
      </c>
      <c r="C2" s="148" t="s">
        <v>2</v>
      </c>
      <c r="D2" s="183" t="s">
        <v>43</v>
      </c>
      <c r="E2" s="184"/>
      <c r="F2" s="185"/>
      <c r="G2" s="186" t="s">
        <v>3</v>
      </c>
      <c r="H2" s="187"/>
      <c r="I2" s="188"/>
      <c r="J2" s="186" t="s">
        <v>4</v>
      </c>
      <c r="K2" s="187"/>
      <c r="L2" s="188"/>
      <c r="M2" s="177" t="s">
        <v>5</v>
      </c>
      <c r="N2" s="178"/>
      <c r="O2" s="179"/>
      <c r="P2" s="177" t="s">
        <v>6</v>
      </c>
      <c r="Q2" s="178"/>
      <c r="R2" s="179"/>
      <c r="S2" s="175" t="s">
        <v>7</v>
      </c>
      <c r="T2" s="175"/>
      <c r="U2" s="175"/>
      <c r="V2" s="180" t="s">
        <v>8</v>
      </c>
      <c r="W2" s="180"/>
      <c r="X2" s="180"/>
      <c r="Y2" s="175" t="s">
        <v>9</v>
      </c>
      <c r="Z2" s="175"/>
      <c r="AA2" s="175"/>
      <c r="AB2" s="181" t="s">
        <v>10</v>
      </c>
      <c r="AC2" s="181"/>
      <c r="AD2" s="181"/>
      <c r="AE2" s="181" t="s">
        <v>11</v>
      </c>
      <c r="AF2" s="181"/>
      <c r="AG2" s="181"/>
      <c r="AH2" s="174" t="s">
        <v>12</v>
      </c>
      <c r="AI2" s="174"/>
      <c r="AJ2" s="174"/>
      <c r="AK2" s="175" t="s">
        <v>13</v>
      </c>
      <c r="AL2" s="175"/>
      <c r="AM2" s="175"/>
      <c r="AN2" s="176" t="s">
        <v>14</v>
      </c>
      <c r="AO2" s="176"/>
      <c r="AP2" s="176"/>
      <c r="AQ2" s="10"/>
      <c r="AR2" s="10"/>
      <c r="AS2" s="55"/>
      <c r="AT2" s="156" t="s">
        <v>94</v>
      </c>
      <c r="AU2" s="158" t="s">
        <v>34</v>
      </c>
      <c r="AV2" s="160" t="s">
        <v>35</v>
      </c>
      <c r="AW2" s="162" t="s">
        <v>36</v>
      </c>
      <c r="AX2" s="164" t="s">
        <v>1</v>
      </c>
      <c r="AY2" s="148" t="s">
        <v>2</v>
      </c>
    </row>
    <row r="3" spans="1:51" ht="25.5" x14ac:dyDescent="0.25">
      <c r="A3" s="165"/>
      <c r="B3" s="165"/>
      <c r="C3" s="149"/>
      <c r="D3" s="11" t="s">
        <v>15</v>
      </c>
      <c r="E3" s="11" t="s">
        <v>16</v>
      </c>
      <c r="F3" s="12" t="s">
        <v>17</v>
      </c>
      <c r="G3" s="13" t="s">
        <v>18</v>
      </c>
      <c r="H3" s="73" t="s">
        <v>19</v>
      </c>
      <c r="I3" s="14" t="s">
        <v>17</v>
      </c>
      <c r="J3" s="13" t="s">
        <v>18</v>
      </c>
      <c r="K3" s="73" t="s">
        <v>19</v>
      </c>
      <c r="L3" s="14" t="s">
        <v>17</v>
      </c>
      <c r="M3" s="13" t="s">
        <v>18</v>
      </c>
      <c r="N3" s="72" t="s">
        <v>19</v>
      </c>
      <c r="O3" s="14" t="s">
        <v>17</v>
      </c>
      <c r="P3" s="13" t="s">
        <v>18</v>
      </c>
      <c r="Q3" s="72" t="s">
        <v>19</v>
      </c>
      <c r="R3" s="72" t="s">
        <v>17</v>
      </c>
      <c r="S3" s="13" t="s">
        <v>18</v>
      </c>
      <c r="T3" s="72" t="s">
        <v>19</v>
      </c>
      <c r="U3" s="14" t="s">
        <v>17</v>
      </c>
      <c r="V3" s="13" t="s">
        <v>18</v>
      </c>
      <c r="W3" s="72" t="s">
        <v>19</v>
      </c>
      <c r="X3" s="14" t="s">
        <v>17</v>
      </c>
      <c r="Y3" s="13" t="s">
        <v>18</v>
      </c>
      <c r="Z3" s="72" t="s">
        <v>19</v>
      </c>
      <c r="AA3" s="73" t="s">
        <v>17</v>
      </c>
      <c r="AB3" s="13" t="s">
        <v>18</v>
      </c>
      <c r="AC3" s="72" t="s">
        <v>19</v>
      </c>
      <c r="AD3" s="14" t="s">
        <v>17</v>
      </c>
      <c r="AE3" s="13" t="s">
        <v>18</v>
      </c>
      <c r="AF3" s="72" t="s">
        <v>19</v>
      </c>
      <c r="AG3" s="14" t="s">
        <v>17</v>
      </c>
      <c r="AH3" s="13" t="s">
        <v>18</v>
      </c>
      <c r="AI3" s="72" t="s">
        <v>19</v>
      </c>
      <c r="AJ3" s="14" t="s">
        <v>17</v>
      </c>
      <c r="AK3" s="13" t="s">
        <v>18</v>
      </c>
      <c r="AL3" s="72" t="s">
        <v>19</v>
      </c>
      <c r="AM3" s="14" t="s">
        <v>17</v>
      </c>
      <c r="AN3" s="15" t="s">
        <v>18</v>
      </c>
      <c r="AO3" s="72" t="s">
        <v>19</v>
      </c>
      <c r="AP3" s="16" t="s">
        <v>17</v>
      </c>
      <c r="AQ3" s="10"/>
      <c r="AR3" s="10"/>
      <c r="AS3" s="56"/>
      <c r="AT3" s="157"/>
      <c r="AU3" s="159"/>
      <c r="AV3" s="161"/>
      <c r="AW3" s="163"/>
      <c r="AX3" s="165"/>
      <c r="AY3" s="149"/>
    </row>
    <row r="4" spans="1:51" ht="28.5" customHeight="1" x14ac:dyDescent="0.25">
      <c r="A4" s="171"/>
      <c r="B4" s="150" t="s">
        <v>98</v>
      </c>
      <c r="C4" s="18" t="s">
        <v>21</v>
      </c>
      <c r="D4" s="49">
        <f>G4+J4+M4+P4+S4+V4+Y4+AB4+AE4+AH4+AK4+AN4</f>
        <v>431329.22</v>
      </c>
      <c r="E4" s="49">
        <f>H4+K4+N4+Q4+T4+W4+Z4+AC4+AF4+AI4+AL4+AO4</f>
        <v>72262.009999999995</v>
      </c>
      <c r="F4" s="33">
        <f>E4/D4*100</f>
        <v>16.753330553399557</v>
      </c>
      <c r="G4" s="34">
        <f>G9+G14+G19</f>
        <v>13280.8</v>
      </c>
      <c r="H4" s="35">
        <f t="shared" ref="H4:AP7" si="0">H9+H14+H19</f>
        <v>19047.900000000001</v>
      </c>
      <c r="I4" s="34" t="e">
        <f t="shared" si="0"/>
        <v>#DIV/0!</v>
      </c>
      <c r="J4" s="34">
        <f t="shared" si="0"/>
        <v>32912.5</v>
      </c>
      <c r="K4" s="35">
        <f t="shared" si="0"/>
        <v>21862.16</v>
      </c>
      <c r="L4" s="34" t="e">
        <f t="shared" si="0"/>
        <v>#DIV/0!</v>
      </c>
      <c r="M4" s="34">
        <f t="shared" si="0"/>
        <v>36868.1</v>
      </c>
      <c r="N4" s="36">
        <f t="shared" si="0"/>
        <v>31351.95</v>
      </c>
      <c r="O4" s="34">
        <f t="shared" si="0"/>
        <v>195.46194409354513</v>
      </c>
      <c r="P4" s="34">
        <f t="shared" si="0"/>
        <v>36206.519999999997</v>
      </c>
      <c r="Q4" s="36">
        <f t="shared" si="0"/>
        <v>0</v>
      </c>
      <c r="R4" s="36">
        <f t="shared" si="0"/>
        <v>0</v>
      </c>
      <c r="S4" s="34">
        <f t="shared" si="0"/>
        <v>47295.53</v>
      </c>
      <c r="T4" s="36">
        <f t="shared" si="0"/>
        <v>0</v>
      </c>
      <c r="U4" s="34">
        <f t="shared" si="0"/>
        <v>0</v>
      </c>
      <c r="V4" s="34">
        <f t="shared" si="0"/>
        <v>49607.149999999994</v>
      </c>
      <c r="W4" s="46">
        <f>W5+W6+W7+W8</f>
        <v>0</v>
      </c>
      <c r="X4" s="34">
        <f t="shared" si="0"/>
        <v>0</v>
      </c>
      <c r="Y4" s="34">
        <f t="shared" si="0"/>
        <v>41647.560000000005</v>
      </c>
      <c r="Z4" s="34">
        <f t="shared" si="0"/>
        <v>0</v>
      </c>
      <c r="AA4" s="34">
        <f t="shared" si="0"/>
        <v>0</v>
      </c>
      <c r="AB4" s="34">
        <f t="shared" si="0"/>
        <v>40722.26</v>
      </c>
      <c r="AC4" s="34">
        <f t="shared" si="0"/>
        <v>0</v>
      </c>
      <c r="AD4" s="34">
        <f t="shared" si="0"/>
        <v>0</v>
      </c>
      <c r="AE4" s="34">
        <f t="shared" si="0"/>
        <v>35895.660000000003</v>
      </c>
      <c r="AF4" s="34">
        <f t="shared" si="0"/>
        <v>0</v>
      </c>
      <c r="AG4" s="34">
        <f t="shared" si="0"/>
        <v>0</v>
      </c>
      <c r="AH4" s="34">
        <f t="shared" si="0"/>
        <v>32827.96</v>
      </c>
      <c r="AI4" s="34">
        <f t="shared" si="0"/>
        <v>0</v>
      </c>
      <c r="AJ4" s="34">
        <f t="shared" si="0"/>
        <v>0</v>
      </c>
      <c r="AK4" s="34">
        <f t="shared" si="0"/>
        <v>33802.25</v>
      </c>
      <c r="AL4" s="34">
        <f t="shared" si="0"/>
        <v>0</v>
      </c>
      <c r="AM4" s="34">
        <f t="shared" si="0"/>
        <v>0</v>
      </c>
      <c r="AN4" s="34">
        <f t="shared" si="0"/>
        <v>30262.93</v>
      </c>
      <c r="AO4" s="34">
        <f t="shared" si="0"/>
        <v>0</v>
      </c>
      <c r="AP4" s="34">
        <f t="shared" si="0"/>
        <v>0</v>
      </c>
      <c r="AQ4" s="19"/>
      <c r="AR4" s="20"/>
      <c r="AS4" s="57" t="s">
        <v>37</v>
      </c>
      <c r="AT4" s="79">
        <f>AT5+AT6+AT7+AT8</f>
        <v>431329.22000000003</v>
      </c>
      <c r="AU4" s="80">
        <f>AT4-D4</f>
        <v>0</v>
      </c>
      <c r="AV4" s="81">
        <f>AV5+AV6+AV7+AV8</f>
        <v>72262.009999999995</v>
      </c>
      <c r="AW4" s="61">
        <f>AV4-E4</f>
        <v>0</v>
      </c>
      <c r="AX4" s="150" t="s">
        <v>20</v>
      </c>
      <c r="AY4" s="18" t="s">
        <v>21</v>
      </c>
    </row>
    <row r="5" spans="1:51" ht="39" customHeight="1" x14ac:dyDescent="0.25">
      <c r="A5" s="172"/>
      <c r="B5" s="151"/>
      <c r="C5" s="21" t="s">
        <v>22</v>
      </c>
      <c r="D5" s="51">
        <f>G5+J5+M5+P5+S5+V5+Y5+AB5+AE5+AH5+AK5+AN5</f>
        <v>416812.1</v>
      </c>
      <c r="E5" s="51">
        <f t="shared" ref="E5:E23" si="1">H5+K5+N5+Q5+T5+W5+Z5+AC5+AF5+AI5+AL5+AO5</f>
        <v>72262.009999999995</v>
      </c>
      <c r="F5" s="33">
        <f t="shared" ref="F5:F21" si="2">E5/D5*100</f>
        <v>17.336831152454547</v>
      </c>
      <c r="G5" s="34">
        <f>G10+G15+G20</f>
        <v>13280.8</v>
      </c>
      <c r="H5" s="35">
        <f t="shared" si="0"/>
        <v>19047.900000000001</v>
      </c>
      <c r="I5" s="34" t="e">
        <f t="shared" si="0"/>
        <v>#DIV/0!</v>
      </c>
      <c r="J5" s="34">
        <f t="shared" si="0"/>
        <v>32912.5</v>
      </c>
      <c r="K5" s="35">
        <f t="shared" si="0"/>
        <v>21862.16</v>
      </c>
      <c r="L5" s="34">
        <f t="shared" si="0"/>
        <v>2.2336227308603003</v>
      </c>
      <c r="M5" s="34">
        <f t="shared" si="0"/>
        <v>36815.800000000003</v>
      </c>
      <c r="N5" s="36">
        <f>N10+N15+N20</f>
        <v>31351.95</v>
      </c>
      <c r="O5" s="34">
        <v>0</v>
      </c>
      <c r="P5" s="34">
        <f t="shared" si="0"/>
        <v>34719.099999999991</v>
      </c>
      <c r="Q5" s="36">
        <f t="shared" si="0"/>
        <v>0</v>
      </c>
      <c r="R5" s="36">
        <f t="shared" si="0"/>
        <v>0</v>
      </c>
      <c r="S5" s="34">
        <f t="shared" si="0"/>
        <v>44228.299999999996</v>
      </c>
      <c r="T5" s="36">
        <f t="shared" si="0"/>
        <v>0</v>
      </c>
      <c r="U5" s="34">
        <f t="shared" si="0"/>
        <v>0</v>
      </c>
      <c r="V5" s="34">
        <f t="shared" si="0"/>
        <v>48188.72</v>
      </c>
      <c r="W5" s="46">
        <f t="shared" si="0"/>
        <v>0</v>
      </c>
      <c r="X5" s="34">
        <f t="shared" si="0"/>
        <v>0</v>
      </c>
      <c r="Y5" s="34">
        <f t="shared" si="0"/>
        <v>40277.530000000006</v>
      </c>
      <c r="Z5" s="34">
        <f t="shared" si="0"/>
        <v>0</v>
      </c>
      <c r="AA5" s="34">
        <f t="shared" si="0"/>
        <v>0</v>
      </c>
      <c r="AB5" s="34">
        <f t="shared" si="0"/>
        <v>39292.730000000003</v>
      </c>
      <c r="AC5" s="34">
        <f t="shared" si="0"/>
        <v>0</v>
      </c>
      <c r="AD5" s="34">
        <f t="shared" si="0"/>
        <v>0</v>
      </c>
      <c r="AE5" s="34">
        <f t="shared" si="0"/>
        <v>34391.33</v>
      </c>
      <c r="AF5" s="34">
        <f t="shared" si="0"/>
        <v>0</v>
      </c>
      <c r="AG5" s="34">
        <f t="shared" si="0"/>
        <v>0</v>
      </c>
      <c r="AH5" s="34">
        <f t="shared" si="0"/>
        <v>31411.129999999997</v>
      </c>
      <c r="AI5" s="34">
        <f t="shared" si="0"/>
        <v>0</v>
      </c>
      <c r="AJ5" s="34">
        <f t="shared" si="0"/>
        <v>0</v>
      </c>
      <c r="AK5" s="34">
        <f t="shared" si="0"/>
        <v>32401.23</v>
      </c>
      <c r="AL5" s="34">
        <f t="shared" si="0"/>
        <v>0</v>
      </c>
      <c r="AM5" s="34">
        <f t="shared" si="0"/>
        <v>0</v>
      </c>
      <c r="AN5" s="34">
        <f t="shared" si="0"/>
        <v>28892.93</v>
      </c>
      <c r="AO5" s="34">
        <f t="shared" si="0"/>
        <v>0</v>
      </c>
      <c r="AP5" s="89">
        <v>0</v>
      </c>
      <c r="AQ5" s="22"/>
      <c r="AR5" s="10"/>
      <c r="AS5" s="62" t="s">
        <v>38</v>
      </c>
      <c r="AT5" s="79">
        <f>AT10+AT15+AT20</f>
        <v>416812.1</v>
      </c>
      <c r="AU5" s="80">
        <f t="shared" ref="AU5:AU23" si="3">AT5-D5</f>
        <v>0</v>
      </c>
      <c r="AV5" s="81">
        <f>AV10+AV15+AV20</f>
        <v>72262.009999999995</v>
      </c>
      <c r="AW5" s="61">
        <f t="shared" ref="AW5:AW23" si="4">AV5-E5</f>
        <v>0</v>
      </c>
      <c r="AX5" s="151"/>
      <c r="AY5" s="21" t="s">
        <v>22</v>
      </c>
    </row>
    <row r="6" spans="1:51" ht="26.25" customHeight="1" x14ac:dyDescent="0.25">
      <c r="A6" s="172"/>
      <c r="B6" s="151"/>
      <c r="C6" s="21" t="s">
        <v>23</v>
      </c>
      <c r="D6" s="51">
        <f t="shared" ref="D6:D18" si="5">G6+J6+M6+P6+S6+V6+Y6+AB6+AE6+AH6+AK6+AN6</f>
        <v>9066.84</v>
      </c>
      <c r="E6" s="51">
        <f>H6+K6+N6+Q6+T6+W6+Z6+AC6+AF6+AI6+AL6+AO6</f>
        <v>0</v>
      </c>
      <c r="F6" s="33">
        <f t="shared" si="2"/>
        <v>0</v>
      </c>
      <c r="G6" s="34">
        <f>G11+G16+G21</f>
        <v>0</v>
      </c>
      <c r="H6" s="35">
        <f>H11+H21</f>
        <v>0</v>
      </c>
      <c r="I6" s="35" t="e">
        <f t="shared" ref="I6:I21" si="6">H6/G6*100</f>
        <v>#DIV/0!</v>
      </c>
      <c r="J6" s="34">
        <f>J11+J16+J21</f>
        <v>0</v>
      </c>
      <c r="K6" s="35">
        <f>K11+K16+K21</f>
        <v>0</v>
      </c>
      <c r="L6" s="35" t="e">
        <f t="shared" ref="L6:L21" si="7">K6/J6*100</f>
        <v>#DIV/0!</v>
      </c>
      <c r="M6" s="34">
        <f>M11+M16+M21</f>
        <v>52.3</v>
      </c>
      <c r="N6" s="36">
        <f>N11+N16+N21</f>
        <v>0</v>
      </c>
      <c r="O6" s="35">
        <f t="shared" ref="O6:O21" si="8">N6/M6*100</f>
        <v>0</v>
      </c>
      <c r="P6" s="34">
        <f t="shared" si="0"/>
        <v>881.84</v>
      </c>
      <c r="Q6" s="36">
        <f>Q11+Q16+Q21</f>
        <v>0</v>
      </c>
      <c r="R6" s="36">
        <f t="shared" ref="R6:R21" si="9">Q6/P6*100</f>
        <v>0</v>
      </c>
      <c r="S6" s="37">
        <f t="shared" si="0"/>
        <v>2461.6400000000003</v>
      </c>
      <c r="T6" s="36">
        <f>T11+T16+T21</f>
        <v>0</v>
      </c>
      <c r="U6" s="35">
        <f t="shared" ref="U6:U21" si="10">T6/S6*100</f>
        <v>0</v>
      </c>
      <c r="V6" s="37">
        <f t="shared" si="0"/>
        <v>812.84</v>
      </c>
      <c r="W6" s="47">
        <f>W11+W16+W21</f>
        <v>0</v>
      </c>
      <c r="X6" s="35">
        <f t="shared" ref="X6:X21" si="11">W6/V6*100</f>
        <v>0</v>
      </c>
      <c r="Y6" s="37">
        <f t="shared" si="0"/>
        <v>764.44</v>
      </c>
      <c r="Z6" s="36">
        <f>Z11+Z16+Z21</f>
        <v>0</v>
      </c>
      <c r="AA6" s="35">
        <f t="shared" ref="AA6:AA21" si="12">Z6/Y6*100</f>
        <v>0</v>
      </c>
      <c r="AB6" s="37">
        <f t="shared" si="0"/>
        <v>823.94</v>
      </c>
      <c r="AC6" s="36">
        <f>AC11+AC16+AC21</f>
        <v>0</v>
      </c>
      <c r="AD6" s="35">
        <f t="shared" ref="AD6:AD21" si="13">AC6/AB6*100</f>
        <v>0</v>
      </c>
      <c r="AE6" s="37">
        <f t="shared" si="0"/>
        <v>898.74</v>
      </c>
      <c r="AF6" s="36">
        <f>AF11+AF16+AF21</f>
        <v>0</v>
      </c>
      <c r="AG6" s="35">
        <f t="shared" ref="AG6:AG21" si="14">AF6/AE6*100</f>
        <v>0</v>
      </c>
      <c r="AH6" s="37">
        <f t="shared" si="0"/>
        <v>811.24</v>
      </c>
      <c r="AI6" s="36">
        <f>AI11+AI16+AI21</f>
        <v>0</v>
      </c>
      <c r="AJ6" s="35">
        <f t="shared" ref="AJ6:AJ19" si="15">AI6/AH6*100</f>
        <v>0</v>
      </c>
      <c r="AK6" s="37">
        <f t="shared" si="0"/>
        <v>795.43</v>
      </c>
      <c r="AL6" s="36">
        <v>0</v>
      </c>
      <c r="AM6" s="35">
        <f t="shared" ref="AM6:AM21" si="16">AL6/AK6*100</f>
        <v>0</v>
      </c>
      <c r="AN6" s="90">
        <f t="shared" si="0"/>
        <v>764.43</v>
      </c>
      <c r="AO6" s="36">
        <v>0</v>
      </c>
      <c r="AP6" s="91">
        <v>0</v>
      </c>
      <c r="AQ6" s="23"/>
      <c r="AR6" s="10"/>
      <c r="AS6" s="62" t="s">
        <v>39</v>
      </c>
      <c r="AT6" s="79">
        <f>AT11+AT16+AT21</f>
        <v>9066.84</v>
      </c>
      <c r="AU6" s="80">
        <f t="shared" si="3"/>
        <v>0</v>
      </c>
      <c r="AV6" s="81">
        <f>AV11+AV16+AV21</f>
        <v>0</v>
      </c>
      <c r="AW6" s="61">
        <f>AV6-E6</f>
        <v>0</v>
      </c>
      <c r="AX6" s="151"/>
      <c r="AY6" s="21" t="s">
        <v>23</v>
      </c>
    </row>
    <row r="7" spans="1:51" ht="26.25" customHeight="1" x14ac:dyDescent="0.25">
      <c r="A7" s="172"/>
      <c r="B7" s="151"/>
      <c r="C7" s="21" t="s">
        <v>24</v>
      </c>
      <c r="D7" s="51">
        <f>G7+J7+M7+P7+S7+V7+Y7+AB7+AE7+AH7+AK7+AN7</f>
        <v>5450.2800000000007</v>
      </c>
      <c r="E7" s="51">
        <f t="shared" si="1"/>
        <v>0</v>
      </c>
      <c r="F7" s="33">
        <v>0</v>
      </c>
      <c r="G7" s="34">
        <f t="shared" ref="G7" si="17">G12+G17+G22</f>
        <v>0</v>
      </c>
      <c r="H7" s="35">
        <f>H12+H17+H22</f>
        <v>0</v>
      </c>
      <c r="I7" s="35">
        <v>0</v>
      </c>
      <c r="J7" s="34">
        <f t="shared" ref="J7" si="18">J12+J17+J22</f>
        <v>0</v>
      </c>
      <c r="K7" s="35">
        <v>0</v>
      </c>
      <c r="L7" s="35">
        <v>0</v>
      </c>
      <c r="M7" s="34">
        <f>M12+M17+M22</f>
        <v>0</v>
      </c>
      <c r="N7" s="36">
        <f>N12+N17+N22</f>
        <v>0</v>
      </c>
      <c r="O7" s="35">
        <v>0</v>
      </c>
      <c r="P7" s="34">
        <f t="shared" si="0"/>
        <v>605.58000000000004</v>
      </c>
      <c r="Q7" s="36">
        <f>Q12+Q16+Q22</f>
        <v>0</v>
      </c>
      <c r="R7" s="36">
        <v>0</v>
      </c>
      <c r="S7" s="34">
        <f t="shared" si="0"/>
        <v>605.59</v>
      </c>
      <c r="T7" s="36">
        <v>0</v>
      </c>
      <c r="U7" s="35">
        <v>0</v>
      </c>
      <c r="V7" s="34">
        <f t="shared" si="0"/>
        <v>605.59</v>
      </c>
      <c r="W7" s="47">
        <v>0</v>
      </c>
      <c r="X7" s="35">
        <v>0</v>
      </c>
      <c r="Y7" s="34">
        <f>Y12</f>
        <v>605.59</v>
      </c>
      <c r="Z7" s="36">
        <v>0</v>
      </c>
      <c r="AA7" s="35">
        <v>0</v>
      </c>
      <c r="AB7" s="34">
        <f>AB12</f>
        <v>605.59</v>
      </c>
      <c r="AC7" s="36">
        <v>0</v>
      </c>
      <c r="AD7" s="35">
        <v>0</v>
      </c>
      <c r="AE7" s="34">
        <f t="shared" si="0"/>
        <v>605.59</v>
      </c>
      <c r="AF7" s="36">
        <v>0</v>
      </c>
      <c r="AG7" s="35">
        <v>0</v>
      </c>
      <c r="AH7" s="34">
        <f t="shared" si="0"/>
        <v>605.59</v>
      </c>
      <c r="AI7" s="36">
        <v>0</v>
      </c>
      <c r="AJ7" s="35">
        <v>0</v>
      </c>
      <c r="AK7" s="34">
        <f t="shared" si="0"/>
        <v>605.59</v>
      </c>
      <c r="AL7" s="36">
        <v>0</v>
      </c>
      <c r="AM7" s="35">
        <v>0</v>
      </c>
      <c r="AN7" s="92">
        <f t="shared" si="0"/>
        <v>605.57000000000005</v>
      </c>
      <c r="AO7" s="36">
        <v>0</v>
      </c>
      <c r="AP7" s="91">
        <v>0</v>
      </c>
      <c r="AQ7" s="23"/>
      <c r="AR7" s="10"/>
      <c r="AS7" s="62" t="s">
        <v>40</v>
      </c>
      <c r="AT7" s="79">
        <f>AT12+AT17+AT22</f>
        <v>5450.28</v>
      </c>
      <c r="AU7" s="80">
        <f t="shared" si="3"/>
        <v>0</v>
      </c>
      <c r="AV7" s="81">
        <f>AV12+AV17+AV22</f>
        <v>0</v>
      </c>
      <c r="AW7" s="61">
        <f t="shared" si="4"/>
        <v>0</v>
      </c>
      <c r="AX7" s="151"/>
      <c r="AY7" s="21" t="s">
        <v>24</v>
      </c>
    </row>
    <row r="8" spans="1:51" ht="26.25" customHeight="1" x14ac:dyDescent="0.25">
      <c r="A8" s="173"/>
      <c r="B8" s="152"/>
      <c r="C8" s="18" t="s">
        <v>25</v>
      </c>
      <c r="D8" s="51">
        <f t="shared" si="5"/>
        <v>0</v>
      </c>
      <c r="E8" s="51">
        <f t="shared" si="1"/>
        <v>0</v>
      </c>
      <c r="F8" s="33">
        <v>0</v>
      </c>
      <c r="G8" s="38">
        <v>0</v>
      </c>
      <c r="H8" s="33">
        <f>H13+H18+H23</f>
        <v>0</v>
      </c>
      <c r="I8" s="35">
        <v>0</v>
      </c>
      <c r="J8" s="38">
        <v>0</v>
      </c>
      <c r="K8" s="35">
        <v>0</v>
      </c>
      <c r="L8" s="35">
        <v>0</v>
      </c>
      <c r="M8" s="38">
        <v>0</v>
      </c>
      <c r="N8" s="39">
        <f>N13+N18+N23</f>
        <v>0</v>
      </c>
      <c r="O8" s="35">
        <v>0</v>
      </c>
      <c r="P8" s="38">
        <v>0</v>
      </c>
      <c r="Q8" s="39">
        <v>0</v>
      </c>
      <c r="R8" s="36">
        <v>0</v>
      </c>
      <c r="S8" s="38">
        <v>0</v>
      </c>
      <c r="T8" s="39">
        <v>0</v>
      </c>
      <c r="U8" s="35">
        <v>0</v>
      </c>
      <c r="V8" s="38">
        <v>0</v>
      </c>
      <c r="W8" s="48">
        <v>0</v>
      </c>
      <c r="X8" s="35">
        <v>0</v>
      </c>
      <c r="Y8" s="38">
        <v>0</v>
      </c>
      <c r="Z8" s="39">
        <v>0</v>
      </c>
      <c r="AA8" s="35">
        <v>0</v>
      </c>
      <c r="AB8" s="38">
        <v>0</v>
      </c>
      <c r="AC8" s="39">
        <v>0</v>
      </c>
      <c r="AD8" s="35">
        <v>0</v>
      </c>
      <c r="AE8" s="38">
        <v>0</v>
      </c>
      <c r="AF8" s="33">
        <v>0</v>
      </c>
      <c r="AG8" s="35">
        <v>0</v>
      </c>
      <c r="AH8" s="38">
        <v>0</v>
      </c>
      <c r="AI8" s="39">
        <v>0</v>
      </c>
      <c r="AJ8" s="35">
        <v>0</v>
      </c>
      <c r="AK8" s="38">
        <v>0</v>
      </c>
      <c r="AL8" s="39">
        <v>0</v>
      </c>
      <c r="AM8" s="35">
        <v>0</v>
      </c>
      <c r="AN8" s="93">
        <v>0</v>
      </c>
      <c r="AO8" s="39">
        <v>0</v>
      </c>
      <c r="AP8" s="39">
        <v>0</v>
      </c>
      <c r="AQ8" s="23"/>
      <c r="AR8" s="10"/>
      <c r="AS8" s="57" t="s">
        <v>41</v>
      </c>
      <c r="AT8" s="79">
        <f>AT13+AT18+AT23</f>
        <v>0</v>
      </c>
      <c r="AU8" s="80">
        <f t="shared" si="3"/>
        <v>0</v>
      </c>
      <c r="AV8" s="81">
        <f>AV13+AV18+AV23</f>
        <v>0</v>
      </c>
      <c r="AW8" s="61">
        <f t="shared" si="4"/>
        <v>0</v>
      </c>
      <c r="AX8" s="152"/>
      <c r="AY8" s="18" t="s">
        <v>25</v>
      </c>
    </row>
    <row r="9" spans="1:51" ht="39" customHeight="1" x14ac:dyDescent="0.25">
      <c r="A9" s="167" t="s">
        <v>26</v>
      </c>
      <c r="B9" s="153" t="s">
        <v>27</v>
      </c>
      <c r="C9" s="18" t="s">
        <v>21</v>
      </c>
      <c r="D9" s="49">
        <f>G9+J9+M9+P9+S9+V9+Y9+AB9+AE9+AH9+AK9+AN9</f>
        <v>21003.420000000006</v>
      </c>
      <c r="E9" s="49">
        <f t="shared" si="1"/>
        <v>51.019999999999996</v>
      </c>
      <c r="F9" s="40">
        <f t="shared" ref="F9:O9" si="19">F10+F11+F12</f>
        <v>0.78658094753557495</v>
      </c>
      <c r="G9" s="40">
        <f t="shared" si="19"/>
        <v>0</v>
      </c>
      <c r="H9" s="40">
        <f t="shared" si="19"/>
        <v>0</v>
      </c>
      <c r="I9" s="40" t="e">
        <f t="shared" si="19"/>
        <v>#DIV/0!</v>
      </c>
      <c r="J9" s="40">
        <f t="shared" si="19"/>
        <v>126.7</v>
      </c>
      <c r="K9" s="40">
        <f t="shared" si="19"/>
        <v>2.83</v>
      </c>
      <c r="L9" s="40" t="e">
        <f t="shared" si="19"/>
        <v>#DIV/0!</v>
      </c>
      <c r="M9" s="40">
        <f t="shared" si="19"/>
        <v>175.2</v>
      </c>
      <c r="N9" s="40">
        <f t="shared" si="19"/>
        <v>48.19</v>
      </c>
      <c r="O9" s="40">
        <f t="shared" si="19"/>
        <v>39.21074043938161</v>
      </c>
      <c r="P9" s="40">
        <f>P10+P11+P12+P13</f>
        <v>1506.6200000000001</v>
      </c>
      <c r="Q9" s="40">
        <f>Q10+Q11+Q12+Q13</f>
        <v>0</v>
      </c>
      <c r="R9" s="41">
        <f t="shared" si="9"/>
        <v>0</v>
      </c>
      <c r="S9" s="40">
        <f>S10+S12+S11</f>
        <v>4881.130000000001</v>
      </c>
      <c r="T9" s="40">
        <f>T10+T11+T12</f>
        <v>0</v>
      </c>
      <c r="U9" s="41">
        <f t="shared" si="10"/>
        <v>0</v>
      </c>
      <c r="V9" s="40">
        <f>V10+V11+V12</f>
        <v>3309.23</v>
      </c>
      <c r="W9" s="49">
        <f>W10+W11+W13+W12</f>
        <v>0</v>
      </c>
      <c r="X9" s="41">
        <f t="shared" si="11"/>
        <v>0</v>
      </c>
      <c r="Y9" s="40">
        <f>Y10+Y11+Y12</f>
        <v>3192.03</v>
      </c>
      <c r="Z9" s="40">
        <f>Z10+Z11</f>
        <v>0</v>
      </c>
      <c r="AA9" s="41">
        <f t="shared" si="12"/>
        <v>0</v>
      </c>
      <c r="AB9" s="40">
        <f>AB10+AB11+AB12</f>
        <v>1964.0300000000002</v>
      </c>
      <c r="AC9" s="40">
        <f>AC10+AC11</f>
        <v>0</v>
      </c>
      <c r="AD9" s="41">
        <f t="shared" si="13"/>
        <v>0</v>
      </c>
      <c r="AE9" s="40">
        <f>AE10+AE11+AE12</f>
        <v>1646.83</v>
      </c>
      <c r="AF9" s="40">
        <f>AF10+AF11</f>
        <v>0</v>
      </c>
      <c r="AG9" s="41">
        <f t="shared" si="14"/>
        <v>0</v>
      </c>
      <c r="AH9" s="40">
        <f>AH10+AH11+AH12</f>
        <v>1425.13</v>
      </c>
      <c r="AI9" s="40">
        <f>AI10+AI11</f>
        <v>0</v>
      </c>
      <c r="AJ9" s="41">
        <f t="shared" si="15"/>
        <v>0</v>
      </c>
      <c r="AK9" s="40">
        <f>AK10+AK11+AK12</f>
        <v>1406.52</v>
      </c>
      <c r="AL9" s="40">
        <f>AL10+AL11</f>
        <v>0</v>
      </c>
      <c r="AM9" s="41">
        <f t="shared" si="16"/>
        <v>0</v>
      </c>
      <c r="AN9" s="40">
        <f>AN10+AN11+AN12</f>
        <v>1370</v>
      </c>
      <c r="AO9" s="40">
        <v>0</v>
      </c>
      <c r="AP9" s="40">
        <v>0</v>
      </c>
      <c r="AQ9" s="19"/>
      <c r="AR9" s="82"/>
      <c r="AS9" s="83" t="s">
        <v>37</v>
      </c>
      <c r="AT9" s="84">
        <f>AT10+AT11+AT12</f>
        <v>21003.42</v>
      </c>
      <c r="AU9" s="85">
        <f t="shared" si="3"/>
        <v>0</v>
      </c>
      <c r="AV9" s="86">
        <f>AV10+AV11+AV12+AV13</f>
        <v>51.02</v>
      </c>
      <c r="AW9" s="87">
        <f t="shared" si="4"/>
        <v>0</v>
      </c>
      <c r="AX9" s="153" t="s">
        <v>27</v>
      </c>
      <c r="AY9" s="18" t="s">
        <v>21</v>
      </c>
    </row>
    <row r="10" spans="1:51" ht="26.25" customHeight="1" x14ac:dyDescent="0.25">
      <c r="A10" s="168"/>
      <c r="B10" s="154"/>
      <c r="C10" s="21" t="s">
        <v>22</v>
      </c>
      <c r="D10" s="51">
        <f>G10+J10+M10+P10+S10+V10+Y10+AB10+AE10+AH10+AK10+AN10</f>
        <v>6486.3</v>
      </c>
      <c r="E10" s="51">
        <f t="shared" si="1"/>
        <v>51.019999999999996</v>
      </c>
      <c r="F10" s="33">
        <f t="shared" si="2"/>
        <v>0.78658094753557495</v>
      </c>
      <c r="G10" s="38">
        <v>0</v>
      </c>
      <c r="H10" s="33">
        <v>0</v>
      </c>
      <c r="I10" s="35" t="e">
        <f t="shared" si="6"/>
        <v>#DIV/0!</v>
      </c>
      <c r="J10" s="38">
        <f>123.7+3</f>
        <v>126.7</v>
      </c>
      <c r="K10" s="35">
        <v>2.83</v>
      </c>
      <c r="L10" s="35">
        <f t="shared" si="7"/>
        <v>2.2336227308603003</v>
      </c>
      <c r="M10" s="38">
        <v>122.9</v>
      </c>
      <c r="N10" s="119">
        <v>48.19</v>
      </c>
      <c r="O10" s="35">
        <f t="shared" si="8"/>
        <v>39.21074043938161</v>
      </c>
      <c r="P10" s="38">
        <v>19.2</v>
      </c>
      <c r="Q10" s="39">
        <v>0</v>
      </c>
      <c r="R10" s="36">
        <f t="shared" si="9"/>
        <v>0</v>
      </c>
      <c r="S10" s="38">
        <v>1813.9</v>
      </c>
      <c r="T10" s="39">
        <v>0</v>
      </c>
      <c r="U10" s="35">
        <f t="shared" si="10"/>
        <v>0</v>
      </c>
      <c r="V10" s="38">
        <v>1890.8</v>
      </c>
      <c r="W10" s="48">
        <v>0</v>
      </c>
      <c r="X10" s="35">
        <f t="shared" si="11"/>
        <v>0</v>
      </c>
      <c r="Y10" s="38">
        <v>1822</v>
      </c>
      <c r="Z10" s="39">
        <v>0</v>
      </c>
      <c r="AA10" s="35">
        <f>Z10/Y10*100</f>
        <v>0</v>
      </c>
      <c r="AB10" s="38">
        <v>534.5</v>
      </c>
      <c r="AC10" s="39">
        <v>0</v>
      </c>
      <c r="AD10" s="35">
        <f t="shared" si="13"/>
        <v>0</v>
      </c>
      <c r="AE10" s="38">
        <v>142.5</v>
      </c>
      <c r="AF10" s="39">
        <v>0</v>
      </c>
      <c r="AG10" s="35">
        <v>0</v>
      </c>
      <c r="AH10" s="38">
        <v>8.3000000000000007</v>
      </c>
      <c r="AI10" s="39">
        <v>0</v>
      </c>
      <c r="AJ10" s="35">
        <v>0</v>
      </c>
      <c r="AK10" s="38">
        <v>5.5</v>
      </c>
      <c r="AL10" s="39">
        <v>0</v>
      </c>
      <c r="AM10" s="35">
        <f t="shared" si="16"/>
        <v>0</v>
      </c>
      <c r="AN10" s="93">
        <v>0</v>
      </c>
      <c r="AO10" s="39">
        <v>0</v>
      </c>
      <c r="AP10" s="89">
        <v>0</v>
      </c>
      <c r="AQ10" s="22"/>
      <c r="AR10" s="10"/>
      <c r="AS10" s="62" t="s">
        <v>38</v>
      </c>
      <c r="AT10" s="66">
        <v>6486.3</v>
      </c>
      <c r="AU10" s="59">
        <f>AT10-D10</f>
        <v>0</v>
      </c>
      <c r="AV10" s="68">
        <v>51.02</v>
      </c>
      <c r="AW10" s="61">
        <f t="shared" si="4"/>
        <v>0</v>
      </c>
      <c r="AX10" s="154"/>
      <c r="AY10" s="21" t="s">
        <v>22</v>
      </c>
    </row>
    <row r="11" spans="1:51" ht="26.25" customHeight="1" x14ac:dyDescent="0.25">
      <c r="A11" s="168"/>
      <c r="B11" s="154"/>
      <c r="C11" s="18" t="s">
        <v>23</v>
      </c>
      <c r="D11" s="51">
        <f>G11+J11+M11+P11+S11+V11+Y11+AB11+AE11+AH11+AK11+AN11</f>
        <v>9066.84</v>
      </c>
      <c r="E11" s="51">
        <f t="shared" si="1"/>
        <v>0</v>
      </c>
      <c r="F11" s="33">
        <f t="shared" si="2"/>
        <v>0</v>
      </c>
      <c r="G11" s="38">
        <v>0</v>
      </c>
      <c r="H11" s="33">
        <v>0</v>
      </c>
      <c r="I11" s="35" t="e">
        <f t="shared" si="6"/>
        <v>#DIV/0!</v>
      </c>
      <c r="J11" s="38">
        <v>0</v>
      </c>
      <c r="K11" s="35">
        <v>0</v>
      </c>
      <c r="L11" s="35" t="e">
        <f>K11/J11*100</f>
        <v>#DIV/0!</v>
      </c>
      <c r="M11" s="38">
        <v>52.3</v>
      </c>
      <c r="N11" s="39">
        <v>0</v>
      </c>
      <c r="O11" s="35">
        <f t="shared" si="8"/>
        <v>0</v>
      </c>
      <c r="P11" s="38">
        <f>117.4+764.44</f>
        <v>881.84</v>
      </c>
      <c r="Q11" s="39">
        <v>0</v>
      </c>
      <c r="R11" s="36">
        <f t="shared" si="9"/>
        <v>0</v>
      </c>
      <c r="S11" s="38">
        <f>1697.2+764.44</f>
        <v>2461.6400000000003</v>
      </c>
      <c r="T11" s="39">
        <v>0</v>
      </c>
      <c r="U11" s="35">
        <f t="shared" si="10"/>
        <v>0</v>
      </c>
      <c r="V11" s="38">
        <f>48.4+764.44</f>
        <v>812.84</v>
      </c>
      <c r="W11" s="48">
        <v>0</v>
      </c>
      <c r="X11" s="35">
        <f t="shared" si="11"/>
        <v>0</v>
      </c>
      <c r="Y11" s="38">
        <v>764.44</v>
      </c>
      <c r="Z11" s="39">
        <v>0</v>
      </c>
      <c r="AA11" s="35">
        <f t="shared" si="12"/>
        <v>0</v>
      </c>
      <c r="AB11" s="38">
        <f>59.5+764.44</f>
        <v>823.94</v>
      </c>
      <c r="AC11" s="39">
        <v>0</v>
      </c>
      <c r="AD11" s="35">
        <f t="shared" si="13"/>
        <v>0</v>
      </c>
      <c r="AE11" s="38">
        <f>134.3+764.44</f>
        <v>898.74</v>
      </c>
      <c r="AF11" s="39">
        <v>0</v>
      </c>
      <c r="AG11" s="35">
        <f t="shared" si="14"/>
        <v>0</v>
      </c>
      <c r="AH11" s="38">
        <f>46.8+764.44</f>
        <v>811.24</v>
      </c>
      <c r="AI11" s="39">
        <v>0</v>
      </c>
      <c r="AJ11" s="35">
        <v>0</v>
      </c>
      <c r="AK11" s="38">
        <f>31+764.43</f>
        <v>795.43</v>
      </c>
      <c r="AL11" s="39">
        <v>0</v>
      </c>
      <c r="AM11" s="35">
        <v>0</v>
      </c>
      <c r="AN11" s="93">
        <v>764.43</v>
      </c>
      <c r="AO11" s="39">
        <v>0</v>
      </c>
      <c r="AP11" s="89">
        <v>0</v>
      </c>
      <c r="AQ11" s="23"/>
      <c r="AR11" s="10"/>
      <c r="AS11" s="62" t="s">
        <v>39</v>
      </c>
      <c r="AT11" s="66">
        <v>9066.84</v>
      </c>
      <c r="AU11" s="59">
        <f t="shared" si="3"/>
        <v>0</v>
      </c>
      <c r="AV11" s="68">
        <v>0</v>
      </c>
      <c r="AW11" s="61">
        <f t="shared" si="4"/>
        <v>0</v>
      </c>
      <c r="AX11" s="154"/>
      <c r="AY11" s="18" t="s">
        <v>23</v>
      </c>
    </row>
    <row r="12" spans="1:51" ht="26.25" customHeight="1" x14ac:dyDescent="0.25">
      <c r="A12" s="168"/>
      <c r="B12" s="154"/>
      <c r="C12" s="21" t="s">
        <v>24</v>
      </c>
      <c r="D12" s="51">
        <f t="shared" si="5"/>
        <v>5450.2800000000007</v>
      </c>
      <c r="E12" s="51">
        <f t="shared" si="1"/>
        <v>0</v>
      </c>
      <c r="F12" s="33">
        <v>0</v>
      </c>
      <c r="G12" s="38">
        <v>0</v>
      </c>
      <c r="H12" s="33">
        <v>0</v>
      </c>
      <c r="I12" s="35">
        <v>0</v>
      </c>
      <c r="J12" s="38">
        <v>0</v>
      </c>
      <c r="K12" s="35">
        <v>0</v>
      </c>
      <c r="L12" s="35">
        <v>0</v>
      </c>
      <c r="M12" s="38">
        <v>0</v>
      </c>
      <c r="N12" s="39">
        <v>0</v>
      </c>
      <c r="O12" s="35">
        <v>0</v>
      </c>
      <c r="P12" s="38">
        <v>605.58000000000004</v>
      </c>
      <c r="Q12" s="39">
        <v>0</v>
      </c>
      <c r="R12" s="36">
        <v>0</v>
      </c>
      <c r="S12" s="38">
        <v>605.59</v>
      </c>
      <c r="T12" s="39">
        <v>0</v>
      </c>
      <c r="U12" s="35">
        <v>0</v>
      </c>
      <c r="V12" s="38">
        <v>605.59</v>
      </c>
      <c r="W12" s="48">
        <v>0</v>
      </c>
      <c r="X12" s="35">
        <v>0</v>
      </c>
      <c r="Y12" s="38">
        <v>605.59</v>
      </c>
      <c r="Z12" s="39">
        <v>0</v>
      </c>
      <c r="AA12" s="35">
        <v>0</v>
      </c>
      <c r="AB12" s="38">
        <v>605.59</v>
      </c>
      <c r="AC12" s="39">
        <v>0</v>
      </c>
      <c r="AD12" s="35">
        <v>0</v>
      </c>
      <c r="AE12" s="38">
        <v>605.59</v>
      </c>
      <c r="AF12" s="39">
        <v>0</v>
      </c>
      <c r="AG12" s="35">
        <v>0</v>
      </c>
      <c r="AH12" s="38">
        <v>605.59</v>
      </c>
      <c r="AI12" s="39">
        <v>0</v>
      </c>
      <c r="AJ12" s="35">
        <v>0</v>
      </c>
      <c r="AK12" s="38">
        <v>605.59</v>
      </c>
      <c r="AL12" s="39">
        <v>0</v>
      </c>
      <c r="AM12" s="35">
        <v>0</v>
      </c>
      <c r="AN12" s="93">
        <v>605.57000000000005</v>
      </c>
      <c r="AO12" s="39">
        <v>0</v>
      </c>
      <c r="AP12" s="89">
        <v>0</v>
      </c>
      <c r="AQ12" s="23"/>
      <c r="AR12" s="10"/>
      <c r="AS12" s="62" t="s">
        <v>40</v>
      </c>
      <c r="AT12" s="66">
        <v>5450.28</v>
      </c>
      <c r="AU12" s="59">
        <f t="shared" si="3"/>
        <v>0</v>
      </c>
      <c r="AV12" s="68">
        <v>0</v>
      </c>
      <c r="AW12" s="61">
        <f t="shared" si="4"/>
        <v>0</v>
      </c>
      <c r="AX12" s="154"/>
      <c r="AY12" s="21" t="s">
        <v>24</v>
      </c>
    </row>
    <row r="13" spans="1:51" ht="26.25" customHeight="1" x14ac:dyDescent="0.25">
      <c r="A13" s="169"/>
      <c r="B13" s="155"/>
      <c r="C13" s="18" t="s">
        <v>25</v>
      </c>
      <c r="D13" s="51">
        <f t="shared" si="5"/>
        <v>0</v>
      </c>
      <c r="E13" s="51">
        <f t="shared" si="1"/>
        <v>0</v>
      </c>
      <c r="F13" s="33">
        <v>0</v>
      </c>
      <c r="G13" s="38">
        <v>0</v>
      </c>
      <c r="H13" s="33">
        <v>0</v>
      </c>
      <c r="I13" s="35">
        <v>0</v>
      </c>
      <c r="J13" s="38">
        <v>0</v>
      </c>
      <c r="K13" s="35">
        <v>0</v>
      </c>
      <c r="L13" s="35">
        <v>0</v>
      </c>
      <c r="M13" s="38">
        <v>0</v>
      </c>
      <c r="N13" s="39">
        <v>0</v>
      </c>
      <c r="O13" s="35">
        <v>0</v>
      </c>
      <c r="P13" s="38">
        <v>0</v>
      </c>
      <c r="Q13" s="39">
        <v>0</v>
      </c>
      <c r="R13" s="36">
        <v>0</v>
      </c>
      <c r="S13" s="38">
        <v>0</v>
      </c>
      <c r="T13" s="39">
        <v>0</v>
      </c>
      <c r="U13" s="35">
        <v>0</v>
      </c>
      <c r="V13" s="38">
        <v>0</v>
      </c>
      <c r="W13" s="48">
        <v>0</v>
      </c>
      <c r="X13" s="35">
        <v>0</v>
      </c>
      <c r="Y13" s="38">
        <v>0</v>
      </c>
      <c r="Z13" s="39">
        <v>0</v>
      </c>
      <c r="AA13" s="35">
        <v>0</v>
      </c>
      <c r="AB13" s="38">
        <v>0</v>
      </c>
      <c r="AC13" s="39">
        <v>0</v>
      </c>
      <c r="AD13" s="35">
        <v>0</v>
      </c>
      <c r="AE13" s="38">
        <v>0</v>
      </c>
      <c r="AF13" s="39">
        <v>0</v>
      </c>
      <c r="AG13" s="35">
        <v>0</v>
      </c>
      <c r="AH13" s="38">
        <v>0</v>
      </c>
      <c r="AI13" s="39">
        <v>0</v>
      </c>
      <c r="AJ13" s="35">
        <v>0</v>
      </c>
      <c r="AK13" s="38">
        <v>0</v>
      </c>
      <c r="AL13" s="39">
        <v>0</v>
      </c>
      <c r="AM13" s="35">
        <v>0</v>
      </c>
      <c r="AN13" s="93">
        <v>0</v>
      </c>
      <c r="AO13" s="39">
        <v>0</v>
      </c>
      <c r="AP13" s="39">
        <v>0</v>
      </c>
      <c r="AQ13" s="23"/>
      <c r="AR13" s="10"/>
      <c r="AS13" s="57" t="s">
        <v>41</v>
      </c>
      <c r="AT13" s="58">
        <v>0</v>
      </c>
      <c r="AU13" s="59">
        <f t="shared" si="3"/>
        <v>0</v>
      </c>
      <c r="AV13" s="60">
        <v>0</v>
      </c>
      <c r="AW13" s="61">
        <f t="shared" si="4"/>
        <v>0</v>
      </c>
      <c r="AX13" s="155"/>
      <c r="AY13" s="18" t="s">
        <v>25</v>
      </c>
    </row>
    <row r="14" spans="1:51" ht="37.5" customHeight="1" x14ac:dyDescent="0.25">
      <c r="A14" s="167" t="s">
        <v>30</v>
      </c>
      <c r="B14" s="153" t="s">
        <v>28</v>
      </c>
      <c r="C14" s="18" t="s">
        <v>21</v>
      </c>
      <c r="D14" s="49">
        <f>G14+J14+M14+P14+S14+V14+Y14+AB14+AE14+AH14+AK14+AN14</f>
        <v>5225</v>
      </c>
      <c r="E14" s="49">
        <f t="shared" si="1"/>
        <v>672.41</v>
      </c>
      <c r="F14" s="40">
        <f t="shared" si="2"/>
        <v>12.869090909090907</v>
      </c>
      <c r="G14" s="40">
        <f>G15+G16</f>
        <v>0</v>
      </c>
      <c r="H14" s="40">
        <f>H15+H16+H17+H18</f>
        <v>0</v>
      </c>
      <c r="I14" s="41">
        <v>0</v>
      </c>
      <c r="J14" s="40">
        <f>J15+J16+J17</f>
        <v>150</v>
      </c>
      <c r="K14" s="41">
        <f>K15+K16+K17+K18</f>
        <v>40.53</v>
      </c>
      <c r="L14" s="41">
        <v>0</v>
      </c>
      <c r="M14" s="40">
        <f>M15+M16+M17</f>
        <v>895.4</v>
      </c>
      <c r="N14" s="40">
        <f>N15+N16+N17+N18</f>
        <v>631.88</v>
      </c>
      <c r="O14" s="41">
        <f t="shared" si="8"/>
        <v>70.569577842305122</v>
      </c>
      <c r="P14" s="40">
        <f>P15+P16+P17</f>
        <v>437</v>
      </c>
      <c r="Q14" s="40">
        <f>Q15+Q16+Q17+Q18</f>
        <v>0</v>
      </c>
      <c r="R14" s="41">
        <f t="shared" si="9"/>
        <v>0</v>
      </c>
      <c r="S14" s="40">
        <f>S15+S16+S17</f>
        <v>702.1</v>
      </c>
      <c r="T14" s="40">
        <f>T15</f>
        <v>0</v>
      </c>
      <c r="U14" s="41">
        <f t="shared" si="10"/>
        <v>0</v>
      </c>
      <c r="V14" s="40">
        <f>V15+V16+V17</f>
        <v>1197</v>
      </c>
      <c r="W14" s="49">
        <f>W15+W16+W17+W18</f>
        <v>0</v>
      </c>
      <c r="X14" s="41">
        <f t="shared" si="11"/>
        <v>0</v>
      </c>
      <c r="Y14" s="40">
        <f>Y15+Y16+Y17</f>
        <v>400</v>
      </c>
      <c r="Z14" s="40">
        <f>Z15</f>
        <v>0</v>
      </c>
      <c r="AA14" s="41">
        <f t="shared" si="12"/>
        <v>0</v>
      </c>
      <c r="AB14" s="40">
        <f>AB15+AB16+AB17</f>
        <v>425.5</v>
      </c>
      <c r="AC14" s="40">
        <f>AC15</f>
        <v>0</v>
      </c>
      <c r="AD14" s="41">
        <f t="shared" si="13"/>
        <v>0</v>
      </c>
      <c r="AE14" s="40">
        <f>AE15+AE16</f>
        <v>318</v>
      </c>
      <c r="AF14" s="40">
        <f>AF15+AF16</f>
        <v>0</v>
      </c>
      <c r="AG14" s="41">
        <f t="shared" si="14"/>
        <v>0</v>
      </c>
      <c r="AH14" s="40">
        <f>AH15+AH16</f>
        <v>100</v>
      </c>
      <c r="AI14" s="40">
        <f>AI15</f>
        <v>0</v>
      </c>
      <c r="AJ14" s="41">
        <f t="shared" si="15"/>
        <v>0</v>
      </c>
      <c r="AK14" s="40">
        <f>AK15+AK16</f>
        <v>200</v>
      </c>
      <c r="AL14" s="40">
        <f>AL15</f>
        <v>0</v>
      </c>
      <c r="AM14" s="41">
        <f t="shared" si="16"/>
        <v>0</v>
      </c>
      <c r="AN14" s="94">
        <f>AN15+AN16</f>
        <v>400</v>
      </c>
      <c r="AO14" s="40">
        <v>0</v>
      </c>
      <c r="AP14" s="40">
        <v>0</v>
      </c>
      <c r="AQ14" s="19"/>
      <c r="AR14" s="82"/>
      <c r="AS14" s="83" t="s">
        <v>37</v>
      </c>
      <c r="AT14" s="84">
        <f>AT15+AT16+AT17+AT18</f>
        <v>5225</v>
      </c>
      <c r="AU14" s="85">
        <f t="shared" si="3"/>
        <v>0</v>
      </c>
      <c r="AV14" s="86">
        <f>AV15+AV16+AV17+AV18</f>
        <v>672.41</v>
      </c>
      <c r="AW14" s="87">
        <f t="shared" si="4"/>
        <v>0</v>
      </c>
      <c r="AX14" s="153" t="s">
        <v>28</v>
      </c>
      <c r="AY14" s="18" t="s">
        <v>21</v>
      </c>
    </row>
    <row r="15" spans="1:51" ht="26.25" customHeight="1" x14ac:dyDescent="0.25">
      <c r="A15" s="168"/>
      <c r="B15" s="154"/>
      <c r="C15" s="18" t="s">
        <v>22</v>
      </c>
      <c r="D15" s="51">
        <f>G15+J15+M15+P15+S15+V15+Y15+AB15+AE15+AH15+AK15+AN15</f>
        <v>5225</v>
      </c>
      <c r="E15" s="51">
        <f t="shared" si="1"/>
        <v>672.41</v>
      </c>
      <c r="F15" s="33">
        <f t="shared" si="2"/>
        <v>12.869090909090907</v>
      </c>
      <c r="G15" s="38">
        <v>0</v>
      </c>
      <c r="H15" s="33">
        <v>0</v>
      </c>
      <c r="I15" s="35"/>
      <c r="J15" s="38">
        <v>150</v>
      </c>
      <c r="K15" s="35">
        <v>40.53</v>
      </c>
      <c r="L15" s="35">
        <v>0</v>
      </c>
      <c r="M15" s="38">
        <v>895.4</v>
      </c>
      <c r="N15" s="119">
        <v>631.88</v>
      </c>
      <c r="O15" s="35">
        <v>0</v>
      </c>
      <c r="P15" s="38">
        <v>437</v>
      </c>
      <c r="Q15" s="39">
        <v>0</v>
      </c>
      <c r="R15" s="36">
        <f t="shared" si="9"/>
        <v>0</v>
      </c>
      <c r="S15" s="38">
        <v>702.1</v>
      </c>
      <c r="T15" s="39">
        <v>0</v>
      </c>
      <c r="U15" s="35">
        <f t="shared" si="10"/>
        <v>0</v>
      </c>
      <c r="V15" s="38">
        <v>1197</v>
      </c>
      <c r="W15" s="48">
        <v>0</v>
      </c>
      <c r="X15" s="35">
        <f t="shared" si="11"/>
        <v>0</v>
      </c>
      <c r="Y15" s="38">
        <v>400</v>
      </c>
      <c r="Z15" s="39">
        <v>0</v>
      </c>
      <c r="AA15" s="35">
        <v>0</v>
      </c>
      <c r="AB15" s="38">
        <v>425.5</v>
      </c>
      <c r="AC15" s="39">
        <v>0</v>
      </c>
      <c r="AD15" s="35">
        <f t="shared" si="13"/>
        <v>0</v>
      </c>
      <c r="AE15" s="38">
        <v>318</v>
      </c>
      <c r="AF15" s="39">
        <v>0</v>
      </c>
      <c r="AG15" s="35">
        <f t="shared" si="14"/>
        <v>0</v>
      </c>
      <c r="AH15" s="38">
        <v>100</v>
      </c>
      <c r="AI15" s="39">
        <v>0</v>
      </c>
      <c r="AJ15" s="35">
        <f t="shared" si="15"/>
        <v>0</v>
      </c>
      <c r="AK15" s="38">
        <v>200</v>
      </c>
      <c r="AL15" s="39">
        <v>0</v>
      </c>
      <c r="AM15" s="35">
        <f t="shared" si="16"/>
        <v>0</v>
      </c>
      <c r="AN15" s="93">
        <v>400</v>
      </c>
      <c r="AO15" s="39">
        <v>0</v>
      </c>
      <c r="AP15" s="89">
        <v>0</v>
      </c>
      <c r="AQ15" s="22"/>
      <c r="AR15" s="10"/>
      <c r="AS15" s="62" t="s">
        <v>38</v>
      </c>
      <c r="AT15" s="66">
        <v>5225</v>
      </c>
      <c r="AU15" s="59">
        <f t="shared" si="3"/>
        <v>0</v>
      </c>
      <c r="AV15" s="68">
        <v>672.41</v>
      </c>
      <c r="AW15" s="61">
        <f t="shared" si="4"/>
        <v>0</v>
      </c>
      <c r="AX15" s="154"/>
      <c r="AY15" s="18" t="s">
        <v>22</v>
      </c>
    </row>
    <row r="16" spans="1:51" ht="26.25" customHeight="1" x14ac:dyDescent="0.25">
      <c r="A16" s="168"/>
      <c r="B16" s="154"/>
      <c r="C16" s="21" t="s">
        <v>23</v>
      </c>
      <c r="D16" s="51">
        <f>G16+J16+M16+P16+S16+V16+Y16+AB16+AE16+AH16+AK16+AN16</f>
        <v>0</v>
      </c>
      <c r="E16" s="51">
        <f t="shared" si="1"/>
        <v>0</v>
      </c>
      <c r="F16" s="33">
        <v>0</v>
      </c>
      <c r="G16" s="38">
        <v>0</v>
      </c>
      <c r="H16" s="33">
        <v>0</v>
      </c>
      <c r="I16" s="35">
        <v>0</v>
      </c>
      <c r="J16" s="38">
        <v>0</v>
      </c>
      <c r="K16" s="35">
        <v>0</v>
      </c>
      <c r="L16" s="35">
        <v>0</v>
      </c>
      <c r="M16" s="38">
        <v>0</v>
      </c>
      <c r="N16" s="39">
        <v>0</v>
      </c>
      <c r="O16" s="35">
        <v>0</v>
      </c>
      <c r="P16" s="38">
        <v>0</v>
      </c>
      <c r="Q16" s="39">
        <v>0</v>
      </c>
      <c r="R16" s="36">
        <v>0</v>
      </c>
      <c r="S16" s="38">
        <v>0</v>
      </c>
      <c r="T16" s="39">
        <v>0</v>
      </c>
      <c r="U16" s="35">
        <v>0</v>
      </c>
      <c r="V16" s="38">
        <v>0</v>
      </c>
      <c r="W16" s="48">
        <v>0</v>
      </c>
      <c r="X16" s="35">
        <v>0</v>
      </c>
      <c r="Y16" s="38">
        <v>0</v>
      </c>
      <c r="Z16" s="39">
        <v>0</v>
      </c>
      <c r="AA16" s="35">
        <v>0</v>
      </c>
      <c r="AB16" s="38">
        <v>0</v>
      </c>
      <c r="AC16" s="39">
        <v>0</v>
      </c>
      <c r="AD16" s="35">
        <v>0</v>
      </c>
      <c r="AE16" s="38">
        <v>0</v>
      </c>
      <c r="AF16" s="39">
        <v>0</v>
      </c>
      <c r="AG16" s="35">
        <v>0</v>
      </c>
      <c r="AH16" s="38">
        <v>0</v>
      </c>
      <c r="AI16" s="39">
        <v>0</v>
      </c>
      <c r="AJ16" s="35">
        <v>0</v>
      </c>
      <c r="AK16" s="38">
        <v>0</v>
      </c>
      <c r="AL16" s="39">
        <v>0</v>
      </c>
      <c r="AM16" s="35">
        <v>0</v>
      </c>
      <c r="AN16" s="93">
        <v>0</v>
      </c>
      <c r="AO16" s="39">
        <v>0</v>
      </c>
      <c r="AP16" s="89">
        <v>0</v>
      </c>
      <c r="AQ16" s="23"/>
      <c r="AR16" s="10"/>
      <c r="AS16" s="62" t="s">
        <v>39</v>
      </c>
      <c r="AT16" s="66">
        <v>0</v>
      </c>
      <c r="AU16" s="59">
        <f t="shared" si="3"/>
        <v>0</v>
      </c>
      <c r="AV16" s="68">
        <v>0</v>
      </c>
      <c r="AW16" s="61">
        <f t="shared" si="4"/>
        <v>0</v>
      </c>
      <c r="AX16" s="154"/>
      <c r="AY16" s="21" t="s">
        <v>23</v>
      </c>
    </row>
    <row r="17" spans="1:51" ht="26.25" customHeight="1" x14ac:dyDescent="0.25">
      <c r="A17" s="168"/>
      <c r="B17" s="154"/>
      <c r="C17" s="21" t="s">
        <v>24</v>
      </c>
      <c r="D17" s="51">
        <f t="shared" si="5"/>
        <v>0</v>
      </c>
      <c r="E17" s="51">
        <f t="shared" si="1"/>
        <v>0</v>
      </c>
      <c r="F17" s="33">
        <v>0</v>
      </c>
      <c r="G17" s="38">
        <v>0</v>
      </c>
      <c r="H17" s="33">
        <v>0</v>
      </c>
      <c r="I17" s="35">
        <v>0</v>
      </c>
      <c r="J17" s="38">
        <v>0</v>
      </c>
      <c r="K17" s="35">
        <v>0</v>
      </c>
      <c r="L17" s="35">
        <v>0</v>
      </c>
      <c r="M17" s="38">
        <v>0</v>
      </c>
      <c r="N17" s="39">
        <v>0</v>
      </c>
      <c r="O17" s="35">
        <v>0</v>
      </c>
      <c r="P17" s="38">
        <v>0</v>
      </c>
      <c r="Q17" s="39">
        <v>0</v>
      </c>
      <c r="R17" s="36">
        <v>0</v>
      </c>
      <c r="S17" s="38">
        <v>0</v>
      </c>
      <c r="T17" s="39">
        <v>0</v>
      </c>
      <c r="U17" s="35">
        <v>0</v>
      </c>
      <c r="V17" s="38">
        <v>0</v>
      </c>
      <c r="W17" s="48">
        <v>0</v>
      </c>
      <c r="X17" s="35">
        <v>0</v>
      </c>
      <c r="Y17" s="38">
        <v>0</v>
      </c>
      <c r="Z17" s="39">
        <v>0</v>
      </c>
      <c r="AA17" s="35">
        <v>0</v>
      </c>
      <c r="AB17" s="38">
        <v>0</v>
      </c>
      <c r="AC17" s="39">
        <v>0</v>
      </c>
      <c r="AD17" s="35">
        <v>0</v>
      </c>
      <c r="AE17" s="38">
        <v>0</v>
      </c>
      <c r="AF17" s="39">
        <v>0</v>
      </c>
      <c r="AG17" s="35">
        <v>0</v>
      </c>
      <c r="AH17" s="38">
        <v>0</v>
      </c>
      <c r="AI17" s="39">
        <v>0</v>
      </c>
      <c r="AJ17" s="35">
        <v>0</v>
      </c>
      <c r="AK17" s="38">
        <v>0</v>
      </c>
      <c r="AL17" s="39">
        <v>0</v>
      </c>
      <c r="AM17" s="35">
        <v>0</v>
      </c>
      <c r="AN17" s="93">
        <v>0</v>
      </c>
      <c r="AO17" s="39">
        <v>0</v>
      </c>
      <c r="AP17" s="39">
        <v>0</v>
      </c>
      <c r="AQ17" s="23"/>
      <c r="AR17" s="10"/>
      <c r="AS17" s="62" t="s">
        <v>40</v>
      </c>
      <c r="AT17" s="58">
        <v>0</v>
      </c>
      <c r="AU17" s="59">
        <f t="shared" si="3"/>
        <v>0</v>
      </c>
      <c r="AV17" s="60">
        <v>0</v>
      </c>
      <c r="AW17" s="61">
        <f t="shared" si="4"/>
        <v>0</v>
      </c>
      <c r="AX17" s="154"/>
      <c r="AY17" s="21" t="s">
        <v>24</v>
      </c>
    </row>
    <row r="18" spans="1:51" ht="26.25" customHeight="1" x14ac:dyDescent="0.25">
      <c r="A18" s="169"/>
      <c r="B18" s="155"/>
      <c r="C18" s="18" t="s">
        <v>25</v>
      </c>
      <c r="D18" s="51">
        <f t="shared" si="5"/>
        <v>0</v>
      </c>
      <c r="E18" s="51">
        <f t="shared" si="1"/>
        <v>0</v>
      </c>
      <c r="F18" s="33">
        <v>0</v>
      </c>
      <c r="G18" s="38">
        <v>0</v>
      </c>
      <c r="H18" s="33">
        <v>0</v>
      </c>
      <c r="I18" s="35">
        <v>0</v>
      </c>
      <c r="J18" s="38">
        <v>0</v>
      </c>
      <c r="K18" s="35">
        <v>0</v>
      </c>
      <c r="L18" s="35">
        <v>0</v>
      </c>
      <c r="M18" s="38">
        <v>0</v>
      </c>
      <c r="N18" s="39">
        <v>0</v>
      </c>
      <c r="O18" s="35">
        <v>0</v>
      </c>
      <c r="P18" s="38">
        <v>0</v>
      </c>
      <c r="Q18" s="39">
        <v>0</v>
      </c>
      <c r="R18" s="36">
        <v>0</v>
      </c>
      <c r="S18" s="38">
        <v>0</v>
      </c>
      <c r="T18" s="39">
        <v>0</v>
      </c>
      <c r="U18" s="35">
        <v>0</v>
      </c>
      <c r="V18" s="38">
        <v>0</v>
      </c>
      <c r="W18" s="48">
        <v>0</v>
      </c>
      <c r="X18" s="35">
        <v>0</v>
      </c>
      <c r="Y18" s="38">
        <v>0</v>
      </c>
      <c r="Z18" s="39">
        <v>0</v>
      </c>
      <c r="AA18" s="35">
        <v>0</v>
      </c>
      <c r="AB18" s="38">
        <v>0</v>
      </c>
      <c r="AC18" s="39">
        <v>0</v>
      </c>
      <c r="AD18" s="35">
        <v>0</v>
      </c>
      <c r="AE18" s="38">
        <v>0</v>
      </c>
      <c r="AF18" s="39">
        <v>0</v>
      </c>
      <c r="AG18" s="35">
        <v>0</v>
      </c>
      <c r="AH18" s="38">
        <v>0</v>
      </c>
      <c r="AI18" s="39">
        <v>0</v>
      </c>
      <c r="AJ18" s="35">
        <v>0</v>
      </c>
      <c r="AK18" s="38">
        <v>0</v>
      </c>
      <c r="AL18" s="39">
        <v>0</v>
      </c>
      <c r="AM18" s="35">
        <v>0</v>
      </c>
      <c r="AN18" s="93">
        <v>0</v>
      </c>
      <c r="AO18" s="39">
        <v>0</v>
      </c>
      <c r="AP18" s="39">
        <v>0</v>
      </c>
      <c r="AQ18" s="23"/>
      <c r="AR18" s="10"/>
      <c r="AS18" s="57" t="s">
        <v>41</v>
      </c>
      <c r="AT18" s="58">
        <v>0</v>
      </c>
      <c r="AU18" s="59">
        <f t="shared" si="3"/>
        <v>0</v>
      </c>
      <c r="AV18" s="60">
        <v>0</v>
      </c>
      <c r="AW18" s="61">
        <f t="shared" si="4"/>
        <v>0</v>
      </c>
      <c r="AX18" s="155"/>
      <c r="AY18" s="18" t="s">
        <v>25</v>
      </c>
    </row>
    <row r="19" spans="1:51" ht="39" customHeight="1" x14ac:dyDescent="0.25">
      <c r="A19" s="167" t="s">
        <v>31</v>
      </c>
      <c r="B19" s="153" t="s">
        <v>29</v>
      </c>
      <c r="C19" s="24" t="s">
        <v>21</v>
      </c>
      <c r="D19" s="50">
        <f>G19+J19+M19+P19+S19+V19+Y19+AB19+AE19+AH19+AK19+AN19</f>
        <v>405100.79999999999</v>
      </c>
      <c r="E19" s="49">
        <f t="shared" si="1"/>
        <v>71538.58</v>
      </c>
      <c r="F19" s="40">
        <f t="shared" si="2"/>
        <v>17.659451672275146</v>
      </c>
      <c r="G19" s="42">
        <f>G20+G21</f>
        <v>13280.8</v>
      </c>
      <c r="H19" s="42">
        <f>H20+H21+H22+H23</f>
        <v>19047.900000000001</v>
      </c>
      <c r="I19" s="41">
        <f t="shared" si="6"/>
        <v>143.42434190711404</v>
      </c>
      <c r="J19" s="42">
        <f>J20+J21</f>
        <v>32635.8</v>
      </c>
      <c r="K19" s="41">
        <f>K20+K21+K22+K23</f>
        <v>21818.799999999999</v>
      </c>
      <c r="L19" s="41">
        <f t="shared" si="7"/>
        <v>66.855416444517985</v>
      </c>
      <c r="M19" s="42">
        <f>M20+M21</f>
        <v>35797.5</v>
      </c>
      <c r="N19" s="42">
        <f>N20+N21+N22+N23</f>
        <v>30671.88</v>
      </c>
      <c r="O19" s="41">
        <f t="shared" si="8"/>
        <v>85.681625811858382</v>
      </c>
      <c r="P19" s="42">
        <f>P20+P21</f>
        <v>34262.899999999994</v>
      </c>
      <c r="Q19" s="42">
        <f>Q20+Q21+Q22</f>
        <v>0</v>
      </c>
      <c r="R19" s="41">
        <f t="shared" si="9"/>
        <v>0</v>
      </c>
      <c r="S19" s="42">
        <f>S20+S21</f>
        <v>41712.299999999996</v>
      </c>
      <c r="T19" s="42">
        <f>T20+T21+T22+T23</f>
        <v>0</v>
      </c>
      <c r="U19" s="41">
        <f t="shared" si="10"/>
        <v>0</v>
      </c>
      <c r="V19" s="42">
        <f>V20+V21</f>
        <v>45100.92</v>
      </c>
      <c r="W19" s="50">
        <f>W20+W21+W22+W23</f>
        <v>0</v>
      </c>
      <c r="X19" s="41">
        <f t="shared" si="11"/>
        <v>0</v>
      </c>
      <c r="Y19" s="42">
        <f>Y20+Y21</f>
        <v>38055.530000000006</v>
      </c>
      <c r="Z19" s="42">
        <f>Z20+Z21</f>
        <v>0</v>
      </c>
      <c r="AA19" s="41">
        <f t="shared" si="12"/>
        <v>0</v>
      </c>
      <c r="AB19" s="42">
        <f>AB20+AB21</f>
        <v>38332.730000000003</v>
      </c>
      <c r="AC19" s="40">
        <f>AC20+AC21</f>
        <v>0</v>
      </c>
      <c r="AD19" s="41">
        <f t="shared" si="13"/>
        <v>0</v>
      </c>
      <c r="AE19" s="42">
        <f>AE20+AE21</f>
        <v>33930.83</v>
      </c>
      <c r="AF19" s="42">
        <f>AF20+AF21</f>
        <v>0</v>
      </c>
      <c r="AG19" s="41">
        <f t="shared" si="14"/>
        <v>0</v>
      </c>
      <c r="AH19" s="42">
        <f>AH20+AH21</f>
        <v>31302.829999999998</v>
      </c>
      <c r="AI19" s="42">
        <f>AI20+AI21</f>
        <v>0</v>
      </c>
      <c r="AJ19" s="41">
        <f t="shared" si="15"/>
        <v>0</v>
      </c>
      <c r="AK19" s="42">
        <f>AK20+AK21</f>
        <v>32195.73</v>
      </c>
      <c r="AL19" s="42">
        <f>AL20+AL21</f>
        <v>0</v>
      </c>
      <c r="AM19" s="41">
        <f t="shared" si="16"/>
        <v>0</v>
      </c>
      <c r="AN19" s="95">
        <f>AN20+AN21</f>
        <v>28492.93</v>
      </c>
      <c r="AO19" s="42">
        <v>0</v>
      </c>
      <c r="AP19" s="42">
        <v>0</v>
      </c>
      <c r="AQ19" s="19"/>
      <c r="AR19" s="88"/>
      <c r="AS19" s="83" t="s">
        <v>37</v>
      </c>
      <c r="AT19" s="84">
        <f>AT20+AT21+AT22+AT23</f>
        <v>405100.79999999999</v>
      </c>
      <c r="AU19" s="85">
        <f>AT19-D19</f>
        <v>0</v>
      </c>
      <c r="AV19" s="86">
        <f>AV20+AV21+AV22+AV23</f>
        <v>71538.58</v>
      </c>
      <c r="AW19" s="87">
        <f>AV19-E19</f>
        <v>0</v>
      </c>
      <c r="AX19" s="153" t="s">
        <v>29</v>
      </c>
      <c r="AY19" s="24" t="s">
        <v>21</v>
      </c>
    </row>
    <row r="20" spans="1:51" ht="26.25" customHeight="1" x14ac:dyDescent="0.25">
      <c r="A20" s="168"/>
      <c r="B20" s="154"/>
      <c r="C20" s="18" t="s">
        <v>22</v>
      </c>
      <c r="D20" s="52">
        <f>G20+J20+M20+P20+S20+V20+Y20+AB20+AE20+AH20+AK20+AN20</f>
        <v>405100.79999999999</v>
      </c>
      <c r="E20" s="51">
        <f>H20+K20+N20+Q20+T20+W20+Z20+AC20+AF20+AI20+AL20+AO20</f>
        <v>71538.58</v>
      </c>
      <c r="F20" s="33">
        <v>0</v>
      </c>
      <c r="G20" s="38">
        <v>13280.8</v>
      </c>
      <c r="H20" s="33">
        <v>19047.900000000001</v>
      </c>
      <c r="I20" s="35">
        <f>H20/G20*100</f>
        <v>143.42434190711404</v>
      </c>
      <c r="J20" s="38">
        <f>32638.8-3</f>
        <v>32635.8</v>
      </c>
      <c r="K20" s="35">
        <v>21818.799999999999</v>
      </c>
      <c r="L20" s="35">
        <v>0</v>
      </c>
      <c r="M20" s="38">
        <v>35797.5</v>
      </c>
      <c r="N20" s="119">
        <v>30671.88</v>
      </c>
      <c r="O20" s="35">
        <v>0</v>
      </c>
      <c r="P20" s="38">
        <f>33901.7+361.2</f>
        <v>34262.899999999994</v>
      </c>
      <c r="Q20" s="39">
        <v>0</v>
      </c>
      <c r="R20" s="36">
        <f t="shared" si="9"/>
        <v>0</v>
      </c>
      <c r="S20" s="38">
        <f>41351.1+361.2</f>
        <v>41712.299999999996</v>
      </c>
      <c r="T20" s="39">
        <v>0</v>
      </c>
      <c r="U20" s="35">
        <f t="shared" si="10"/>
        <v>0</v>
      </c>
      <c r="V20" s="38">
        <f>44739.7+361.22</f>
        <v>45100.92</v>
      </c>
      <c r="W20" s="48">
        <v>0</v>
      </c>
      <c r="X20" s="35">
        <v>0</v>
      </c>
      <c r="Y20" s="38">
        <f>37694.3+361.23</f>
        <v>38055.530000000006</v>
      </c>
      <c r="Z20" s="39">
        <v>0</v>
      </c>
      <c r="AA20" s="35">
        <f t="shared" si="12"/>
        <v>0</v>
      </c>
      <c r="AB20" s="38">
        <f>37971.5+361.23</f>
        <v>38332.730000000003</v>
      </c>
      <c r="AC20" s="39">
        <v>0</v>
      </c>
      <c r="AD20" s="35">
        <v>0</v>
      </c>
      <c r="AE20" s="38">
        <f>33569.6+361.23</f>
        <v>33930.83</v>
      </c>
      <c r="AF20" s="39">
        <v>0</v>
      </c>
      <c r="AG20" s="35">
        <v>0</v>
      </c>
      <c r="AH20" s="38">
        <f>30941.6+361.23</f>
        <v>31302.829999999998</v>
      </c>
      <c r="AI20" s="39">
        <v>0</v>
      </c>
      <c r="AJ20" s="35">
        <v>0</v>
      </c>
      <c r="AK20" s="38">
        <f>31834.5+361.23</f>
        <v>32195.73</v>
      </c>
      <c r="AL20" s="39">
        <v>0</v>
      </c>
      <c r="AM20" s="35">
        <v>0</v>
      </c>
      <c r="AN20" s="93">
        <f>28131.7+361.23</f>
        <v>28492.93</v>
      </c>
      <c r="AO20" s="39">
        <v>0</v>
      </c>
      <c r="AP20" s="89">
        <v>0</v>
      </c>
      <c r="AQ20" s="22"/>
      <c r="AR20" s="10"/>
      <c r="AS20" s="62" t="s">
        <v>38</v>
      </c>
      <c r="AT20" s="66">
        <v>405100.79999999999</v>
      </c>
      <c r="AU20" s="59">
        <f t="shared" si="3"/>
        <v>0</v>
      </c>
      <c r="AV20" s="68">
        <v>71538.58</v>
      </c>
      <c r="AW20" s="61">
        <f>AV20-E20</f>
        <v>0</v>
      </c>
      <c r="AX20" s="154"/>
      <c r="AY20" s="18" t="s">
        <v>22</v>
      </c>
    </row>
    <row r="21" spans="1:51" ht="26.25" customHeight="1" x14ac:dyDescent="0.25">
      <c r="A21" s="168"/>
      <c r="B21" s="154"/>
      <c r="C21" s="21" t="s">
        <v>23</v>
      </c>
      <c r="D21" s="52">
        <f>G21+J21+M21+P21+S21+V21+Y21+AB21+AE21+AH21+AK21+AN21</f>
        <v>0</v>
      </c>
      <c r="E21" s="51">
        <f t="shared" si="1"/>
        <v>0</v>
      </c>
      <c r="F21" s="33" t="e">
        <f t="shared" si="2"/>
        <v>#DIV/0!</v>
      </c>
      <c r="G21" s="38">
        <v>0</v>
      </c>
      <c r="H21" s="33">
        <v>0</v>
      </c>
      <c r="I21" s="35" t="e">
        <f t="shared" si="6"/>
        <v>#DIV/0!</v>
      </c>
      <c r="J21" s="38">
        <v>0</v>
      </c>
      <c r="K21" s="35">
        <v>0</v>
      </c>
      <c r="L21" s="35" t="e">
        <f t="shared" si="7"/>
        <v>#DIV/0!</v>
      </c>
      <c r="M21" s="38">
        <v>0</v>
      </c>
      <c r="N21" s="39">
        <v>0</v>
      </c>
      <c r="O21" s="35" t="e">
        <f t="shared" si="8"/>
        <v>#DIV/0!</v>
      </c>
      <c r="P21" s="38">
        <v>0</v>
      </c>
      <c r="Q21" s="39">
        <v>0</v>
      </c>
      <c r="R21" s="36" t="e">
        <f t="shared" si="9"/>
        <v>#DIV/0!</v>
      </c>
      <c r="S21" s="38">
        <v>0</v>
      </c>
      <c r="T21" s="39">
        <v>0</v>
      </c>
      <c r="U21" s="35" t="e">
        <f t="shared" si="10"/>
        <v>#DIV/0!</v>
      </c>
      <c r="V21" s="38">
        <v>0</v>
      </c>
      <c r="W21" s="48">
        <v>0</v>
      </c>
      <c r="X21" s="35" t="e">
        <f t="shared" si="11"/>
        <v>#DIV/0!</v>
      </c>
      <c r="Y21" s="38">
        <v>0</v>
      </c>
      <c r="Z21" s="39">
        <v>0</v>
      </c>
      <c r="AA21" s="35" t="e">
        <f t="shared" si="12"/>
        <v>#DIV/0!</v>
      </c>
      <c r="AB21" s="38">
        <v>0</v>
      </c>
      <c r="AC21" s="39">
        <v>0</v>
      </c>
      <c r="AD21" s="35" t="e">
        <f t="shared" si="13"/>
        <v>#DIV/0!</v>
      </c>
      <c r="AE21" s="38">
        <v>0</v>
      </c>
      <c r="AF21" s="39">
        <v>0</v>
      </c>
      <c r="AG21" s="35" t="e">
        <f t="shared" si="14"/>
        <v>#DIV/0!</v>
      </c>
      <c r="AH21" s="38">
        <v>0</v>
      </c>
      <c r="AI21" s="39">
        <v>0</v>
      </c>
      <c r="AJ21" s="35">
        <v>0</v>
      </c>
      <c r="AK21" s="38">
        <v>0</v>
      </c>
      <c r="AL21" s="39">
        <v>0</v>
      </c>
      <c r="AM21" s="35" t="e">
        <f t="shared" si="16"/>
        <v>#DIV/0!</v>
      </c>
      <c r="AN21" s="93">
        <v>0</v>
      </c>
      <c r="AO21" s="39">
        <v>0</v>
      </c>
      <c r="AP21" s="89">
        <v>0</v>
      </c>
      <c r="AQ21" s="23"/>
      <c r="AR21" s="10"/>
      <c r="AS21" s="62" t="s">
        <v>39</v>
      </c>
      <c r="AT21" s="67">
        <v>0</v>
      </c>
      <c r="AU21" s="59">
        <f>AT21-D21</f>
        <v>0</v>
      </c>
      <c r="AV21" s="69">
        <v>0</v>
      </c>
      <c r="AW21" s="61">
        <f t="shared" si="4"/>
        <v>0</v>
      </c>
      <c r="AX21" s="154"/>
      <c r="AY21" s="21" t="s">
        <v>23</v>
      </c>
    </row>
    <row r="22" spans="1:51" ht="26.25" customHeight="1" x14ac:dyDescent="0.25">
      <c r="A22" s="168"/>
      <c r="B22" s="154"/>
      <c r="C22" s="21" t="s">
        <v>24</v>
      </c>
      <c r="D22" s="52">
        <f t="shared" ref="D22:D23" si="20">G22+J22+M22+P22+S22+V22+Y22+AB22+AE22+AH22+AK22+AN22</f>
        <v>0</v>
      </c>
      <c r="E22" s="51">
        <f t="shared" si="1"/>
        <v>0</v>
      </c>
      <c r="F22" s="33">
        <v>0</v>
      </c>
      <c r="G22" s="38">
        <v>0</v>
      </c>
      <c r="H22" s="33">
        <v>0</v>
      </c>
      <c r="I22" s="35">
        <v>0</v>
      </c>
      <c r="J22" s="38">
        <v>0</v>
      </c>
      <c r="K22" s="35">
        <v>0</v>
      </c>
      <c r="L22" s="35">
        <v>0</v>
      </c>
      <c r="M22" s="38">
        <v>0</v>
      </c>
      <c r="N22" s="39">
        <v>0</v>
      </c>
      <c r="O22" s="35">
        <v>0</v>
      </c>
      <c r="P22" s="38">
        <v>0</v>
      </c>
      <c r="Q22" s="39">
        <v>0</v>
      </c>
      <c r="R22" s="36">
        <v>0</v>
      </c>
      <c r="S22" s="38">
        <v>0</v>
      </c>
      <c r="T22" s="39">
        <v>0</v>
      </c>
      <c r="U22" s="35">
        <v>0</v>
      </c>
      <c r="V22" s="38">
        <v>0</v>
      </c>
      <c r="W22" s="48">
        <v>0</v>
      </c>
      <c r="X22" s="35">
        <v>0</v>
      </c>
      <c r="Y22" s="38">
        <v>0</v>
      </c>
      <c r="Z22" s="39">
        <v>0</v>
      </c>
      <c r="AA22" s="35">
        <v>0</v>
      </c>
      <c r="AB22" s="38">
        <v>0</v>
      </c>
      <c r="AC22" s="96">
        <v>0</v>
      </c>
      <c r="AD22" s="35">
        <v>0</v>
      </c>
      <c r="AE22" s="38">
        <v>0</v>
      </c>
      <c r="AF22" s="39">
        <v>0</v>
      </c>
      <c r="AG22" s="35">
        <v>0</v>
      </c>
      <c r="AH22" s="38">
        <v>0</v>
      </c>
      <c r="AI22" s="39">
        <v>0</v>
      </c>
      <c r="AJ22" s="35">
        <v>0</v>
      </c>
      <c r="AK22" s="38">
        <v>0</v>
      </c>
      <c r="AL22" s="39">
        <v>0</v>
      </c>
      <c r="AM22" s="35">
        <v>0</v>
      </c>
      <c r="AN22" s="93">
        <v>0</v>
      </c>
      <c r="AO22" s="39">
        <v>0</v>
      </c>
      <c r="AP22" s="39">
        <v>0</v>
      </c>
      <c r="AQ22" s="23"/>
      <c r="AR22" s="10"/>
      <c r="AS22" s="62" t="s">
        <v>40</v>
      </c>
      <c r="AT22" s="63">
        <v>0</v>
      </c>
      <c r="AU22" s="59">
        <f t="shared" si="3"/>
        <v>0</v>
      </c>
      <c r="AV22" s="64">
        <v>0</v>
      </c>
      <c r="AW22" s="61">
        <f t="shared" si="4"/>
        <v>0</v>
      </c>
      <c r="AX22" s="154"/>
      <c r="AY22" s="21" t="s">
        <v>24</v>
      </c>
    </row>
    <row r="23" spans="1:51" ht="26.25" customHeight="1" x14ac:dyDescent="0.25">
      <c r="A23" s="169"/>
      <c r="B23" s="155"/>
      <c r="C23" s="18" t="s">
        <v>25</v>
      </c>
      <c r="D23" s="52">
        <f t="shared" si="20"/>
        <v>0</v>
      </c>
      <c r="E23" s="51">
        <f t="shared" si="1"/>
        <v>0</v>
      </c>
      <c r="F23" s="33">
        <v>0</v>
      </c>
      <c r="G23" s="38">
        <v>0</v>
      </c>
      <c r="H23" s="33">
        <v>0</v>
      </c>
      <c r="I23" s="35">
        <v>0</v>
      </c>
      <c r="J23" s="38">
        <v>0</v>
      </c>
      <c r="K23" s="35">
        <v>0</v>
      </c>
      <c r="L23" s="35">
        <v>0</v>
      </c>
      <c r="M23" s="38">
        <v>0</v>
      </c>
      <c r="N23" s="39">
        <v>0</v>
      </c>
      <c r="O23" s="35">
        <v>0</v>
      </c>
      <c r="P23" s="38">
        <v>0</v>
      </c>
      <c r="Q23" s="39">
        <v>0</v>
      </c>
      <c r="R23" s="36">
        <v>0</v>
      </c>
      <c r="S23" s="38">
        <v>0</v>
      </c>
      <c r="T23" s="39">
        <v>0</v>
      </c>
      <c r="U23" s="35">
        <v>0</v>
      </c>
      <c r="V23" s="38">
        <v>0</v>
      </c>
      <c r="W23" s="48">
        <v>0</v>
      </c>
      <c r="X23" s="35">
        <v>0</v>
      </c>
      <c r="Y23" s="38">
        <v>0</v>
      </c>
      <c r="Z23" s="39">
        <v>0</v>
      </c>
      <c r="AA23" s="35">
        <v>0</v>
      </c>
      <c r="AB23" s="93">
        <v>0</v>
      </c>
      <c r="AC23" s="39">
        <v>0</v>
      </c>
      <c r="AD23" s="35">
        <v>0</v>
      </c>
      <c r="AE23" s="38">
        <v>0</v>
      </c>
      <c r="AF23" s="39">
        <v>0</v>
      </c>
      <c r="AG23" s="35">
        <v>0</v>
      </c>
      <c r="AH23" s="38">
        <v>0</v>
      </c>
      <c r="AI23" s="39">
        <v>0</v>
      </c>
      <c r="AJ23" s="35">
        <v>0</v>
      </c>
      <c r="AK23" s="38">
        <v>0</v>
      </c>
      <c r="AL23" s="39">
        <v>0</v>
      </c>
      <c r="AM23" s="35">
        <v>0</v>
      </c>
      <c r="AN23" s="38">
        <v>0</v>
      </c>
      <c r="AO23" s="39">
        <v>0</v>
      </c>
      <c r="AP23" s="39">
        <v>0</v>
      </c>
      <c r="AQ23" s="23"/>
      <c r="AR23" s="10"/>
      <c r="AS23" s="57" t="s">
        <v>41</v>
      </c>
      <c r="AT23" s="64">
        <v>0</v>
      </c>
      <c r="AU23" s="59">
        <f t="shared" si="3"/>
        <v>0</v>
      </c>
      <c r="AV23" s="64">
        <v>0</v>
      </c>
      <c r="AW23" s="61">
        <f t="shared" si="4"/>
        <v>0</v>
      </c>
      <c r="AX23" s="155"/>
      <c r="AY23" s="18" t="s">
        <v>25</v>
      </c>
    </row>
    <row r="24" spans="1:51" ht="15.75" x14ac:dyDescent="0.25">
      <c r="A24" s="3"/>
      <c r="B24" s="71"/>
      <c r="C24" s="70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1"/>
      <c r="X24" s="2"/>
      <c r="Y24" s="2"/>
      <c r="Z24" s="1"/>
      <c r="AA24" s="1"/>
      <c r="AB24" s="2"/>
      <c r="AC24" s="17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7"/>
      <c r="AO24" s="27"/>
      <c r="AP24" s="28"/>
      <c r="AQ24" s="28"/>
      <c r="AR24" s="3"/>
      <c r="AS24" s="55"/>
      <c r="AT24" s="55"/>
      <c r="AU24" s="55"/>
      <c r="AV24" s="55"/>
      <c r="AW24" s="65"/>
      <c r="AX24" s="3"/>
      <c r="AY24" s="3"/>
    </row>
    <row r="25" spans="1:51" ht="15.75" x14ac:dyDescent="0.25">
      <c r="A25" s="3"/>
      <c r="B25" s="170" t="s">
        <v>44</v>
      </c>
      <c r="C25" s="170"/>
      <c r="D25" s="170"/>
      <c r="E25" s="170"/>
      <c r="F25" s="170"/>
      <c r="G25" s="170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1"/>
      <c r="X25" s="2"/>
      <c r="Y25" s="2"/>
      <c r="Z25" s="1"/>
      <c r="AA25" s="1"/>
      <c r="AB25" s="2"/>
      <c r="AC25" s="17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7"/>
      <c r="AO25" s="27"/>
      <c r="AP25" s="28"/>
      <c r="AQ25" s="28"/>
      <c r="AR25" s="3"/>
      <c r="AS25" s="55"/>
      <c r="AT25" s="55"/>
      <c r="AU25" s="55"/>
      <c r="AV25" s="55"/>
      <c r="AW25" s="65"/>
      <c r="AX25" s="3"/>
      <c r="AY25" s="3"/>
    </row>
    <row r="26" spans="1:51" ht="32.25" customHeight="1" x14ac:dyDescent="0.25">
      <c r="A26" s="3"/>
      <c r="B26" s="166" t="s">
        <v>42</v>
      </c>
      <c r="C26" s="166"/>
      <c r="D26" s="166"/>
      <c r="E26" s="166"/>
      <c r="F26" s="166"/>
      <c r="G26" s="166"/>
      <c r="H26" s="166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7"/>
      <c r="AP26" s="28"/>
      <c r="AQ26" s="28"/>
      <c r="AR26" s="3"/>
      <c r="AS26" s="55"/>
      <c r="AT26" s="55"/>
      <c r="AU26" s="55"/>
      <c r="AV26" s="55"/>
      <c r="AW26" s="65"/>
      <c r="AX26" s="3"/>
      <c r="AY26" s="3"/>
    </row>
    <row r="27" spans="1:51" x14ac:dyDescent="0.25">
      <c r="B27" t="s">
        <v>45</v>
      </c>
      <c r="G27" s="45"/>
      <c r="M27" s="45"/>
    </row>
  </sheetData>
  <mergeCells count="37">
    <mergeCell ref="AB2:AD2"/>
    <mergeCell ref="AE2:AG2"/>
    <mergeCell ref="D1:O1"/>
    <mergeCell ref="A2:A3"/>
    <mergeCell ref="B2:B3"/>
    <mergeCell ref="C2:C3"/>
    <mergeCell ref="D2:F2"/>
    <mergeCell ref="G2:I2"/>
    <mergeCell ref="J2:L2"/>
    <mergeCell ref="M2:O2"/>
    <mergeCell ref="AW2:AW3"/>
    <mergeCell ref="AX2:AX3"/>
    <mergeCell ref="AY2:AY3"/>
    <mergeCell ref="A4:A8"/>
    <mergeCell ref="B4:B8"/>
    <mergeCell ref="AX4:AX8"/>
    <mergeCell ref="AH2:AJ2"/>
    <mergeCell ref="AK2:AM2"/>
    <mergeCell ref="AN2:AP2"/>
    <mergeCell ref="AT2:AT3"/>
    <mergeCell ref="AU2:AU3"/>
    <mergeCell ref="AV2:AV3"/>
    <mergeCell ref="P2:R2"/>
    <mergeCell ref="S2:U2"/>
    <mergeCell ref="V2:X2"/>
    <mergeCell ref="Y2:AA2"/>
    <mergeCell ref="A9:A13"/>
    <mergeCell ref="B9:B13"/>
    <mergeCell ref="AX9:AX13"/>
    <mergeCell ref="A14:A18"/>
    <mergeCell ref="B14:B18"/>
    <mergeCell ref="AX14:AX18"/>
    <mergeCell ref="A19:A23"/>
    <mergeCell ref="B19:B23"/>
    <mergeCell ref="AX19:AX23"/>
    <mergeCell ref="B25:G25"/>
    <mergeCell ref="B26:H26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68" fitToWidth="0" orientation="landscape" r:id="rId1"/>
  <colBreaks count="2" manualBreakCount="2">
    <brk id="21" max="1048575" man="1"/>
    <brk id="42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7"/>
  <sheetViews>
    <sheetView view="pageBreakPreview" topLeftCell="B1" zoomScale="70" zoomScaleNormal="100" zoomScaleSheetLayoutView="70" workbookViewId="0">
      <selection activeCell="O31" sqref="O31"/>
    </sheetView>
  </sheetViews>
  <sheetFormatPr defaultRowHeight="15" x14ac:dyDescent="0.25"/>
  <cols>
    <col min="1" max="1" width="4.5703125" customWidth="1"/>
    <col min="2" max="2" width="27.28515625" customWidth="1"/>
    <col min="3" max="3" width="9.28515625" customWidth="1"/>
    <col min="4" max="4" width="10.28515625" customWidth="1"/>
    <col min="5" max="5" width="10" customWidth="1"/>
    <col min="6" max="6" width="7.5703125" customWidth="1"/>
    <col min="7" max="10" width="9.28515625" customWidth="1"/>
    <col min="11" max="11" width="11.28515625" customWidth="1"/>
    <col min="12" max="12" width="9" customWidth="1"/>
    <col min="13" max="13" width="8.28515625" customWidth="1"/>
    <col min="14" max="14" width="8.5703125" style="32" customWidth="1"/>
    <col min="15" max="15" width="7.28515625" customWidth="1"/>
    <col min="16" max="17" width="9.28515625" style="32" customWidth="1"/>
    <col min="18" max="18" width="6.140625" style="32" customWidth="1"/>
    <col min="19" max="19" width="9.28515625" customWidth="1"/>
    <col min="20" max="20" width="9.28515625" style="32" customWidth="1"/>
    <col min="21" max="21" width="7.28515625" customWidth="1"/>
    <col min="22" max="22" width="10.85546875" customWidth="1"/>
    <col min="23" max="23" width="8.7109375" customWidth="1"/>
    <col min="24" max="24" width="5.7109375" customWidth="1"/>
    <col min="25" max="25" width="9.28515625" customWidth="1"/>
    <col min="26" max="26" width="8.28515625" customWidth="1"/>
    <col min="27" max="27" width="6" customWidth="1"/>
    <col min="28" max="28" width="8.42578125" customWidth="1"/>
    <col min="29" max="29" width="9.28515625" customWidth="1"/>
    <col min="30" max="30" width="5.7109375" customWidth="1"/>
    <col min="31" max="31" width="11.28515625" customWidth="1"/>
    <col min="32" max="32" width="7.28515625" customWidth="1"/>
    <col min="33" max="33" width="5.5703125" customWidth="1"/>
    <col min="34" max="34" width="10.5703125" customWidth="1"/>
    <col min="35" max="35" width="10.42578125" customWidth="1"/>
    <col min="36" max="36" width="5.7109375" customWidth="1"/>
    <col min="37" max="37" width="9.42578125" customWidth="1"/>
    <col min="38" max="38" width="10.28515625" customWidth="1"/>
    <col min="39" max="39" width="8.5703125" customWidth="1"/>
    <col min="40" max="40" width="8.140625" customWidth="1"/>
    <col min="41" max="42" width="4.5703125" customWidth="1"/>
    <col min="43" max="43" width="2.7109375" customWidth="1"/>
  </cols>
  <sheetData>
    <row r="1" spans="1:43" ht="16.5" customHeight="1" x14ac:dyDescent="0.25">
      <c r="A1" s="4"/>
      <c r="B1" s="97"/>
      <c r="C1" s="98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101"/>
      <c r="Q1" s="101"/>
      <c r="R1" s="8"/>
      <c r="S1" s="8"/>
      <c r="T1" s="8"/>
      <c r="U1" s="8"/>
      <c r="V1" s="8"/>
      <c r="W1" s="9"/>
      <c r="X1" s="8"/>
      <c r="Y1" s="8"/>
      <c r="Z1" s="189"/>
      <c r="AA1" s="190"/>
      <c r="AB1" s="190"/>
      <c r="AC1" s="190"/>
      <c r="AD1" s="190"/>
      <c r="AE1" s="190"/>
      <c r="AF1" s="190"/>
      <c r="AG1" s="190"/>
      <c r="AH1" s="189" t="s">
        <v>49</v>
      </c>
      <c r="AI1" s="190"/>
      <c r="AJ1" s="190"/>
      <c r="AK1" s="190"/>
      <c r="AL1" s="190"/>
      <c r="AM1" s="190"/>
      <c r="AN1" s="190"/>
      <c r="AO1" s="190"/>
      <c r="AP1" s="244"/>
      <c r="AQ1" s="4"/>
    </row>
    <row r="2" spans="1:43" ht="16.5" customHeight="1" x14ac:dyDescent="0.25">
      <c r="A2" s="4"/>
      <c r="B2" s="97"/>
      <c r="C2" s="98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1"/>
      <c r="Q2" s="101"/>
      <c r="R2" s="8"/>
      <c r="S2" s="8"/>
      <c r="T2" s="8"/>
      <c r="U2" s="8"/>
      <c r="V2" s="8"/>
      <c r="W2" s="9"/>
      <c r="X2" s="8"/>
      <c r="Y2" s="8"/>
      <c r="Z2" s="191" t="s">
        <v>50</v>
      </c>
      <c r="AA2" s="192"/>
      <c r="AB2" s="192"/>
      <c r="AC2" s="192"/>
      <c r="AD2" s="192"/>
      <c r="AE2" s="192"/>
      <c r="AF2" s="192"/>
      <c r="AG2" s="192"/>
      <c r="AH2" s="192"/>
      <c r="AI2" s="192"/>
      <c r="AJ2" s="192"/>
      <c r="AK2" s="192"/>
      <c r="AL2" s="192"/>
      <c r="AM2" s="192"/>
      <c r="AN2" s="192"/>
      <c r="AO2" s="192"/>
      <c r="AP2" s="244"/>
      <c r="AQ2" s="4"/>
    </row>
    <row r="3" spans="1:43" ht="16.5" customHeight="1" x14ac:dyDescent="0.25">
      <c r="A3" s="4"/>
      <c r="B3" s="97"/>
      <c r="C3" s="98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1"/>
      <c r="Q3" s="101"/>
      <c r="R3" s="8"/>
      <c r="S3" s="8"/>
      <c r="T3" s="8"/>
      <c r="U3" s="8"/>
      <c r="V3" s="8"/>
      <c r="W3" s="9"/>
      <c r="X3" s="8"/>
      <c r="Y3" s="8"/>
      <c r="Z3" s="103"/>
      <c r="AA3" s="103"/>
      <c r="AB3" s="103"/>
      <c r="AC3" s="103"/>
      <c r="AD3" s="191"/>
      <c r="AE3" s="192"/>
      <c r="AF3" s="192"/>
      <c r="AG3" s="192"/>
      <c r="AH3" s="103"/>
      <c r="AI3" s="103"/>
      <c r="AJ3" s="103"/>
      <c r="AK3" s="103"/>
      <c r="AL3" s="191" t="s">
        <v>51</v>
      </c>
      <c r="AM3" s="192"/>
      <c r="AN3" s="192"/>
      <c r="AO3" s="192"/>
      <c r="AP3" s="244"/>
      <c r="AQ3" s="4"/>
    </row>
    <row r="4" spans="1:43" ht="16.5" customHeight="1" x14ac:dyDescent="0.25">
      <c r="A4" s="4"/>
      <c r="B4" s="97"/>
      <c r="C4" s="98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1"/>
      <c r="Q4" s="101"/>
      <c r="R4" s="8"/>
      <c r="S4" s="8"/>
      <c r="T4" s="8"/>
      <c r="U4" s="8"/>
      <c r="V4" s="8"/>
      <c r="W4" s="9"/>
      <c r="X4" s="8"/>
      <c r="Y4" s="8"/>
      <c r="Z4" s="9"/>
      <c r="AA4" s="9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4"/>
      <c r="AQ4" s="4"/>
    </row>
    <row r="5" spans="1:43" ht="16.5" customHeight="1" x14ac:dyDescent="0.25">
      <c r="A5" s="4"/>
      <c r="B5" s="97"/>
      <c r="C5" s="98"/>
      <c r="D5" s="102"/>
      <c r="E5" s="226" t="s">
        <v>46</v>
      </c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9"/>
      <c r="AA5" s="9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4"/>
      <c r="AQ5" s="4"/>
    </row>
    <row r="6" spans="1:43" ht="16.5" customHeight="1" x14ac:dyDescent="0.25">
      <c r="A6" s="4"/>
      <c r="B6" s="97"/>
      <c r="C6" s="98"/>
      <c r="D6" s="102"/>
      <c r="E6" s="226" t="s">
        <v>47</v>
      </c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9"/>
      <c r="AA6" s="9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4"/>
      <c r="AQ6" s="4"/>
    </row>
    <row r="7" spans="1:43" ht="16.5" customHeight="1" x14ac:dyDescent="0.25">
      <c r="A7" s="4"/>
      <c r="B7" s="97"/>
      <c r="C7" s="98"/>
      <c r="D7" s="102"/>
      <c r="E7" s="226" t="s">
        <v>95</v>
      </c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9"/>
      <c r="AA7" s="9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4"/>
      <c r="AQ7" s="4"/>
    </row>
    <row r="8" spans="1:43" ht="16.5" customHeight="1" x14ac:dyDescent="0.25">
      <c r="A8" s="4"/>
      <c r="B8" s="97"/>
      <c r="C8" s="98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1"/>
      <c r="Q8" s="101"/>
      <c r="R8" s="8"/>
      <c r="S8" s="8"/>
      <c r="T8" s="8"/>
      <c r="U8" s="8"/>
      <c r="V8" s="8"/>
      <c r="W8" s="9"/>
      <c r="X8" s="8"/>
      <c r="Y8" s="8"/>
      <c r="Z8" s="9"/>
      <c r="AA8" s="9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4"/>
      <c r="AQ8" s="4"/>
    </row>
    <row r="9" spans="1:43" ht="16.5" customHeight="1" x14ac:dyDescent="0.25">
      <c r="A9" s="4"/>
      <c r="B9" s="97"/>
      <c r="C9" s="98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"/>
      <c r="Q9" s="7"/>
      <c r="R9" s="8"/>
      <c r="S9" s="8"/>
      <c r="T9" s="8"/>
      <c r="U9" s="8"/>
      <c r="V9" s="8"/>
      <c r="W9" s="9"/>
      <c r="X9" s="8"/>
      <c r="Y9" s="8"/>
      <c r="Z9" s="9"/>
      <c r="AA9" s="9"/>
      <c r="AB9" s="8"/>
      <c r="AC9" s="8"/>
      <c r="AD9" s="8"/>
      <c r="AE9" s="8"/>
      <c r="AF9" s="8"/>
      <c r="AG9" s="8"/>
      <c r="AH9" s="8"/>
      <c r="AI9" s="8"/>
      <c r="AJ9" s="8"/>
      <c r="AK9" s="243" t="s">
        <v>52</v>
      </c>
      <c r="AL9" s="192"/>
      <c r="AM9" s="192"/>
      <c r="AN9" s="192"/>
      <c r="AO9" s="192"/>
      <c r="AP9" s="192"/>
      <c r="AQ9" s="4"/>
    </row>
    <row r="10" spans="1:43" ht="15" customHeight="1" x14ac:dyDescent="0.25">
      <c r="A10" s="164" t="s">
        <v>0</v>
      </c>
      <c r="B10" s="164" t="s">
        <v>1</v>
      </c>
      <c r="C10" s="230" t="s">
        <v>92</v>
      </c>
      <c r="D10" s="201" t="s">
        <v>21</v>
      </c>
      <c r="E10" s="202"/>
      <c r="F10" s="203"/>
      <c r="G10" s="233" t="s">
        <v>55</v>
      </c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34"/>
      <c r="Z10" s="234"/>
      <c r="AA10" s="234"/>
      <c r="AB10" s="234"/>
      <c r="AC10" s="234"/>
      <c r="AD10" s="234"/>
      <c r="AE10" s="234"/>
      <c r="AF10" s="234"/>
      <c r="AG10" s="234"/>
      <c r="AH10" s="234"/>
      <c r="AI10" s="234"/>
      <c r="AJ10" s="234"/>
      <c r="AK10" s="234"/>
      <c r="AL10" s="234"/>
      <c r="AM10" s="235"/>
      <c r="AN10" s="235"/>
      <c r="AO10" s="235"/>
      <c r="AP10" s="236"/>
      <c r="AQ10" s="10"/>
    </row>
    <row r="11" spans="1:43" ht="15" customHeight="1" x14ac:dyDescent="0.25">
      <c r="A11" s="228"/>
      <c r="B11" s="196"/>
      <c r="C11" s="231"/>
      <c r="D11" s="204"/>
      <c r="E11" s="205"/>
      <c r="F11" s="206"/>
      <c r="G11" s="187" t="s">
        <v>3</v>
      </c>
      <c r="H11" s="187"/>
      <c r="I11" s="188"/>
      <c r="J11" s="186" t="s">
        <v>4</v>
      </c>
      <c r="K11" s="187"/>
      <c r="L11" s="188"/>
      <c r="M11" s="186" t="s">
        <v>5</v>
      </c>
      <c r="N11" s="187"/>
      <c r="O11" s="188"/>
      <c r="P11" s="186" t="s">
        <v>6</v>
      </c>
      <c r="Q11" s="187"/>
      <c r="R11" s="188"/>
      <c r="S11" s="237" t="s">
        <v>7</v>
      </c>
      <c r="T11" s="237"/>
      <c r="U11" s="237"/>
      <c r="V11" s="239" t="s">
        <v>8</v>
      </c>
      <c r="W11" s="239"/>
      <c r="X11" s="239"/>
      <c r="Y11" s="237" t="s">
        <v>9</v>
      </c>
      <c r="Z11" s="237"/>
      <c r="AA11" s="237"/>
      <c r="AB11" s="239" t="s">
        <v>10</v>
      </c>
      <c r="AC11" s="239"/>
      <c r="AD11" s="239"/>
      <c r="AE11" s="240" t="s">
        <v>11</v>
      </c>
      <c r="AF11" s="241"/>
      <c r="AG11" s="242"/>
      <c r="AH11" s="239" t="s">
        <v>12</v>
      </c>
      <c r="AI11" s="239"/>
      <c r="AJ11" s="239"/>
      <c r="AK11" s="237" t="s">
        <v>13</v>
      </c>
      <c r="AL11" s="237"/>
      <c r="AM11" s="237"/>
      <c r="AN11" s="238" t="s">
        <v>14</v>
      </c>
      <c r="AO11" s="238"/>
      <c r="AP11" s="238"/>
      <c r="AQ11" s="10"/>
    </row>
    <row r="12" spans="1:43" ht="36" x14ac:dyDescent="0.25">
      <c r="A12" s="229"/>
      <c r="B12" s="197"/>
      <c r="C12" s="232"/>
      <c r="D12" s="106" t="s">
        <v>93</v>
      </c>
      <c r="E12" s="107" t="s">
        <v>54</v>
      </c>
      <c r="F12" s="12" t="s">
        <v>17</v>
      </c>
      <c r="G12" s="13" t="s">
        <v>18</v>
      </c>
      <c r="H12" s="76" t="s">
        <v>19</v>
      </c>
      <c r="I12" s="14" t="s">
        <v>17</v>
      </c>
      <c r="J12" s="13" t="s">
        <v>18</v>
      </c>
      <c r="K12" s="76" t="s">
        <v>19</v>
      </c>
      <c r="L12" s="14" t="s">
        <v>17</v>
      </c>
      <c r="M12" s="13" t="s">
        <v>18</v>
      </c>
      <c r="N12" s="75" t="s">
        <v>19</v>
      </c>
      <c r="O12" s="14" t="s">
        <v>17</v>
      </c>
      <c r="P12" s="13" t="s">
        <v>18</v>
      </c>
      <c r="Q12" s="75" t="s">
        <v>19</v>
      </c>
      <c r="R12" s="75" t="s">
        <v>17</v>
      </c>
      <c r="S12" s="13" t="s">
        <v>18</v>
      </c>
      <c r="T12" s="75" t="s">
        <v>19</v>
      </c>
      <c r="U12" s="14" t="s">
        <v>17</v>
      </c>
      <c r="V12" s="13" t="s">
        <v>18</v>
      </c>
      <c r="W12" s="75" t="s">
        <v>19</v>
      </c>
      <c r="X12" s="14" t="s">
        <v>17</v>
      </c>
      <c r="Y12" s="13" t="s">
        <v>18</v>
      </c>
      <c r="Z12" s="75" t="s">
        <v>19</v>
      </c>
      <c r="AA12" s="76" t="s">
        <v>17</v>
      </c>
      <c r="AB12" s="13" t="s">
        <v>18</v>
      </c>
      <c r="AC12" s="75" t="s">
        <v>19</v>
      </c>
      <c r="AD12" s="14" t="s">
        <v>17</v>
      </c>
      <c r="AE12" s="13" t="s">
        <v>18</v>
      </c>
      <c r="AF12" s="75" t="s">
        <v>19</v>
      </c>
      <c r="AG12" s="14" t="s">
        <v>17</v>
      </c>
      <c r="AH12" s="13" t="s">
        <v>18</v>
      </c>
      <c r="AI12" s="75" t="s">
        <v>19</v>
      </c>
      <c r="AJ12" s="14" t="s">
        <v>17</v>
      </c>
      <c r="AK12" s="13" t="s">
        <v>18</v>
      </c>
      <c r="AL12" s="75" t="s">
        <v>19</v>
      </c>
      <c r="AM12" s="14" t="s">
        <v>17</v>
      </c>
      <c r="AN12" s="15" t="s">
        <v>18</v>
      </c>
      <c r="AO12" s="75" t="s">
        <v>19</v>
      </c>
      <c r="AP12" s="16" t="s">
        <v>17</v>
      </c>
      <c r="AQ12" s="10"/>
    </row>
    <row r="13" spans="1:43" x14ac:dyDescent="0.25">
      <c r="A13" s="116" t="s">
        <v>56</v>
      </c>
      <c r="B13" s="117">
        <v>2</v>
      </c>
      <c r="C13" s="108">
        <v>3</v>
      </c>
      <c r="D13" s="109">
        <v>4</v>
      </c>
      <c r="E13" s="110">
        <v>5</v>
      </c>
      <c r="F13" s="111">
        <v>6</v>
      </c>
      <c r="G13" s="112">
        <v>7</v>
      </c>
      <c r="H13" s="113" t="s">
        <v>57</v>
      </c>
      <c r="I13" s="114" t="s">
        <v>58</v>
      </c>
      <c r="J13" s="112" t="s">
        <v>59</v>
      </c>
      <c r="K13" s="113" t="s">
        <v>60</v>
      </c>
      <c r="L13" s="114" t="s">
        <v>61</v>
      </c>
      <c r="M13" s="112" t="s">
        <v>62</v>
      </c>
      <c r="N13" s="110" t="s">
        <v>63</v>
      </c>
      <c r="O13" s="114" t="s">
        <v>64</v>
      </c>
      <c r="P13" s="112" t="s">
        <v>65</v>
      </c>
      <c r="Q13" s="110" t="s">
        <v>66</v>
      </c>
      <c r="R13" s="110" t="s">
        <v>67</v>
      </c>
      <c r="S13" s="112" t="s">
        <v>68</v>
      </c>
      <c r="T13" s="110" t="s">
        <v>69</v>
      </c>
      <c r="U13" s="114" t="s">
        <v>70</v>
      </c>
      <c r="V13" s="112" t="s">
        <v>71</v>
      </c>
      <c r="W13" s="110" t="s">
        <v>72</v>
      </c>
      <c r="X13" s="114" t="s">
        <v>73</v>
      </c>
      <c r="Y13" s="112" t="s">
        <v>74</v>
      </c>
      <c r="Z13" s="110" t="s">
        <v>75</v>
      </c>
      <c r="AA13" s="113" t="s">
        <v>76</v>
      </c>
      <c r="AB13" s="112" t="s">
        <v>77</v>
      </c>
      <c r="AC13" s="110" t="s">
        <v>78</v>
      </c>
      <c r="AD13" s="114" t="s">
        <v>79</v>
      </c>
      <c r="AE13" s="112" t="s">
        <v>80</v>
      </c>
      <c r="AF13" s="110" t="s">
        <v>81</v>
      </c>
      <c r="AG13" s="114" t="s">
        <v>82</v>
      </c>
      <c r="AH13" s="112" t="s">
        <v>83</v>
      </c>
      <c r="AI13" s="110" t="s">
        <v>84</v>
      </c>
      <c r="AJ13" s="114" t="s">
        <v>85</v>
      </c>
      <c r="AK13" s="112" t="s">
        <v>86</v>
      </c>
      <c r="AL13" s="110" t="s">
        <v>87</v>
      </c>
      <c r="AM13" s="114" t="s">
        <v>88</v>
      </c>
      <c r="AN13" s="115" t="s">
        <v>89</v>
      </c>
      <c r="AO13" s="110" t="s">
        <v>90</v>
      </c>
      <c r="AP13" s="114" t="s">
        <v>91</v>
      </c>
      <c r="AQ13" s="10"/>
    </row>
    <row r="14" spans="1:43" ht="28.5" customHeight="1" x14ac:dyDescent="0.25">
      <c r="A14" s="171"/>
      <c r="B14" s="150" t="s">
        <v>98</v>
      </c>
      <c r="C14" s="18" t="s">
        <v>21</v>
      </c>
      <c r="D14" s="49">
        <f>G14+J14+M14+P14+S14+V14+Y14+AB14+AE14+AH14+AK14+AN14</f>
        <v>431329.22</v>
      </c>
      <c r="E14" s="49">
        <f>H14+K14+N14+Q14+T14+W14+Z14+AC14+AF14+AI14+AL14+AO14</f>
        <v>72262.009999999995</v>
      </c>
      <c r="F14" s="33">
        <f>E14/D14*100</f>
        <v>16.753330553399557</v>
      </c>
      <c r="G14" s="34">
        <f>G19+G24+G29</f>
        <v>13280.8</v>
      </c>
      <c r="H14" s="35">
        <f t="shared" ref="H14:AP17" si="0">H19+H24+H29</f>
        <v>19047.900000000001</v>
      </c>
      <c r="I14" s="34" t="e">
        <f t="shared" si="0"/>
        <v>#DIV/0!</v>
      </c>
      <c r="J14" s="34">
        <f t="shared" si="0"/>
        <v>32912.5</v>
      </c>
      <c r="K14" s="35">
        <f t="shared" si="0"/>
        <v>21862.16</v>
      </c>
      <c r="L14" s="34" t="e">
        <f t="shared" si="0"/>
        <v>#DIV/0!</v>
      </c>
      <c r="M14" s="34">
        <f t="shared" si="0"/>
        <v>36868.1</v>
      </c>
      <c r="N14" s="36">
        <f t="shared" si="0"/>
        <v>31351.95</v>
      </c>
      <c r="O14" s="34">
        <f t="shared" si="0"/>
        <v>195.46194409354513</v>
      </c>
      <c r="P14" s="34">
        <f t="shared" si="0"/>
        <v>36206.519999999997</v>
      </c>
      <c r="Q14" s="36">
        <f t="shared" si="0"/>
        <v>0</v>
      </c>
      <c r="R14" s="36">
        <f t="shared" si="0"/>
        <v>0</v>
      </c>
      <c r="S14" s="34">
        <f t="shared" si="0"/>
        <v>47295.53</v>
      </c>
      <c r="T14" s="36">
        <f t="shared" si="0"/>
        <v>0</v>
      </c>
      <c r="U14" s="34">
        <f t="shared" si="0"/>
        <v>0</v>
      </c>
      <c r="V14" s="34">
        <f t="shared" si="0"/>
        <v>49607.149999999994</v>
      </c>
      <c r="W14" s="46">
        <f>W15+W16+W17+W18</f>
        <v>0</v>
      </c>
      <c r="X14" s="34">
        <f t="shared" si="0"/>
        <v>0</v>
      </c>
      <c r="Y14" s="34">
        <f t="shared" si="0"/>
        <v>41647.560000000005</v>
      </c>
      <c r="Z14" s="34">
        <f t="shared" si="0"/>
        <v>0</v>
      </c>
      <c r="AA14" s="34">
        <f t="shared" si="0"/>
        <v>0</v>
      </c>
      <c r="AB14" s="34">
        <f t="shared" si="0"/>
        <v>40722.26</v>
      </c>
      <c r="AC14" s="34">
        <f t="shared" si="0"/>
        <v>0</v>
      </c>
      <c r="AD14" s="34">
        <f t="shared" si="0"/>
        <v>0</v>
      </c>
      <c r="AE14" s="34">
        <f t="shared" si="0"/>
        <v>35895.660000000003</v>
      </c>
      <c r="AF14" s="34">
        <f t="shared" si="0"/>
        <v>0</v>
      </c>
      <c r="AG14" s="34">
        <f t="shared" si="0"/>
        <v>0</v>
      </c>
      <c r="AH14" s="34">
        <f t="shared" si="0"/>
        <v>32827.96</v>
      </c>
      <c r="AI14" s="34">
        <f t="shared" si="0"/>
        <v>0</v>
      </c>
      <c r="AJ14" s="34">
        <f t="shared" si="0"/>
        <v>0</v>
      </c>
      <c r="AK14" s="34">
        <f t="shared" si="0"/>
        <v>33802.25</v>
      </c>
      <c r="AL14" s="34">
        <f t="shared" si="0"/>
        <v>0</v>
      </c>
      <c r="AM14" s="34">
        <f t="shared" si="0"/>
        <v>0</v>
      </c>
      <c r="AN14" s="34">
        <f t="shared" si="0"/>
        <v>30262.93</v>
      </c>
      <c r="AO14" s="34">
        <f t="shared" si="0"/>
        <v>0</v>
      </c>
      <c r="AP14" s="34">
        <f t="shared" si="0"/>
        <v>0</v>
      </c>
      <c r="AQ14" s="19"/>
    </row>
    <row r="15" spans="1:43" ht="39" customHeight="1" x14ac:dyDescent="0.25">
      <c r="A15" s="172"/>
      <c r="B15" s="151"/>
      <c r="C15" s="21" t="s">
        <v>22</v>
      </c>
      <c r="D15" s="51">
        <f>G15+J15+M15+P15+S15+V15+Y15+AB15+AE15+AH15+AK15+AN15</f>
        <v>416812.1</v>
      </c>
      <c r="E15" s="51">
        <f t="shared" ref="E15:E33" si="1">H15+K15+N15+Q15+T15+W15+Z15+AC15+AF15+AI15+AL15+AO15</f>
        <v>72262.009999999995</v>
      </c>
      <c r="F15" s="33">
        <f t="shared" ref="F15:F31" si="2">E15/D15*100</f>
        <v>17.336831152454547</v>
      </c>
      <c r="G15" s="34">
        <f>G20+G25+G30</f>
        <v>13280.8</v>
      </c>
      <c r="H15" s="35">
        <f t="shared" si="0"/>
        <v>19047.900000000001</v>
      </c>
      <c r="I15" s="34" t="e">
        <f t="shared" si="0"/>
        <v>#DIV/0!</v>
      </c>
      <c r="J15" s="34">
        <f t="shared" si="0"/>
        <v>32912.5</v>
      </c>
      <c r="K15" s="35">
        <f t="shared" si="0"/>
        <v>21862.16</v>
      </c>
      <c r="L15" s="34">
        <f t="shared" si="0"/>
        <v>2.2336227308603003</v>
      </c>
      <c r="M15" s="34">
        <f t="shared" si="0"/>
        <v>36815.800000000003</v>
      </c>
      <c r="N15" s="36">
        <f>N20+N25+N30</f>
        <v>31351.95</v>
      </c>
      <c r="O15" s="34">
        <v>0</v>
      </c>
      <c r="P15" s="34">
        <f t="shared" si="0"/>
        <v>34719.099999999991</v>
      </c>
      <c r="Q15" s="36">
        <f t="shared" si="0"/>
        <v>0</v>
      </c>
      <c r="R15" s="36">
        <f t="shared" si="0"/>
        <v>0</v>
      </c>
      <c r="S15" s="34">
        <f t="shared" si="0"/>
        <v>44228.299999999996</v>
      </c>
      <c r="T15" s="36">
        <f t="shared" si="0"/>
        <v>0</v>
      </c>
      <c r="U15" s="34">
        <f t="shared" si="0"/>
        <v>0</v>
      </c>
      <c r="V15" s="34">
        <f t="shared" si="0"/>
        <v>48188.72</v>
      </c>
      <c r="W15" s="46">
        <f t="shared" si="0"/>
        <v>0</v>
      </c>
      <c r="X15" s="34">
        <f t="shared" si="0"/>
        <v>0</v>
      </c>
      <c r="Y15" s="34">
        <f t="shared" si="0"/>
        <v>40277.530000000006</v>
      </c>
      <c r="Z15" s="34">
        <f t="shared" si="0"/>
        <v>0</v>
      </c>
      <c r="AA15" s="34">
        <f t="shared" si="0"/>
        <v>0</v>
      </c>
      <c r="AB15" s="34">
        <f t="shared" si="0"/>
        <v>39292.730000000003</v>
      </c>
      <c r="AC15" s="34">
        <f t="shared" si="0"/>
        <v>0</v>
      </c>
      <c r="AD15" s="34">
        <f t="shared" si="0"/>
        <v>0</v>
      </c>
      <c r="AE15" s="34">
        <f t="shared" si="0"/>
        <v>34391.33</v>
      </c>
      <c r="AF15" s="34">
        <f t="shared" si="0"/>
        <v>0</v>
      </c>
      <c r="AG15" s="34">
        <f t="shared" si="0"/>
        <v>0</v>
      </c>
      <c r="AH15" s="34">
        <f t="shared" si="0"/>
        <v>31411.129999999997</v>
      </c>
      <c r="AI15" s="34">
        <f t="shared" si="0"/>
        <v>0</v>
      </c>
      <c r="AJ15" s="34">
        <f t="shared" si="0"/>
        <v>0</v>
      </c>
      <c r="AK15" s="34">
        <f t="shared" si="0"/>
        <v>32401.23</v>
      </c>
      <c r="AL15" s="34">
        <f t="shared" si="0"/>
        <v>0</v>
      </c>
      <c r="AM15" s="34">
        <f t="shared" si="0"/>
        <v>0</v>
      </c>
      <c r="AN15" s="34">
        <f t="shared" si="0"/>
        <v>28892.93</v>
      </c>
      <c r="AO15" s="34">
        <f t="shared" si="0"/>
        <v>0</v>
      </c>
      <c r="AP15" s="89">
        <v>0</v>
      </c>
      <c r="AQ15" s="22"/>
    </row>
    <row r="16" spans="1:43" ht="26.25" customHeight="1" x14ac:dyDescent="0.25">
      <c r="A16" s="172"/>
      <c r="B16" s="151"/>
      <c r="C16" s="21" t="s">
        <v>23</v>
      </c>
      <c r="D16" s="51">
        <f t="shared" ref="D16:D28" si="3">G16+J16+M16+P16+S16+V16+Y16+AB16+AE16+AH16+AK16+AN16</f>
        <v>9066.84</v>
      </c>
      <c r="E16" s="51">
        <f>H16+K16+N16+Q16+T16+W16+Z16+AC16+AF16+AI16+AL16+AO16</f>
        <v>0</v>
      </c>
      <c r="F16" s="33">
        <f t="shared" si="2"/>
        <v>0</v>
      </c>
      <c r="G16" s="34">
        <f>G21+G26+G31</f>
        <v>0</v>
      </c>
      <c r="H16" s="35">
        <f>H21+H31</f>
        <v>0</v>
      </c>
      <c r="I16" s="35" t="e">
        <f t="shared" ref="I16:I31" si="4">H16/G16*100</f>
        <v>#DIV/0!</v>
      </c>
      <c r="J16" s="34">
        <f>J21+J26+J31</f>
        <v>0</v>
      </c>
      <c r="K16" s="35">
        <f>K21+K26+K31</f>
        <v>0</v>
      </c>
      <c r="L16" s="35" t="e">
        <f t="shared" ref="L16:L31" si="5">K16/J16*100</f>
        <v>#DIV/0!</v>
      </c>
      <c r="M16" s="34">
        <f>M21+M26+M31</f>
        <v>52.3</v>
      </c>
      <c r="N16" s="36">
        <f>N21+N26+N31</f>
        <v>0</v>
      </c>
      <c r="O16" s="35">
        <f t="shared" ref="O16:O31" si="6">N16/M16*100</f>
        <v>0</v>
      </c>
      <c r="P16" s="34">
        <f t="shared" si="0"/>
        <v>881.84</v>
      </c>
      <c r="Q16" s="36">
        <f>Q21+Q26+Q31</f>
        <v>0</v>
      </c>
      <c r="R16" s="36">
        <f t="shared" ref="R16:R31" si="7">Q16/P16*100</f>
        <v>0</v>
      </c>
      <c r="S16" s="37">
        <f t="shared" si="0"/>
        <v>2461.6400000000003</v>
      </c>
      <c r="T16" s="36">
        <f>T21+T26+T31</f>
        <v>0</v>
      </c>
      <c r="U16" s="35">
        <f t="shared" ref="U16:U31" si="8">T16/S16*100</f>
        <v>0</v>
      </c>
      <c r="V16" s="37">
        <f t="shared" si="0"/>
        <v>812.84</v>
      </c>
      <c r="W16" s="47">
        <f>W21+W26+W31</f>
        <v>0</v>
      </c>
      <c r="X16" s="35">
        <f t="shared" ref="X16:X31" si="9">W16/V16*100</f>
        <v>0</v>
      </c>
      <c r="Y16" s="37">
        <f t="shared" si="0"/>
        <v>764.44</v>
      </c>
      <c r="Z16" s="36">
        <f>Z21+Z26+Z31</f>
        <v>0</v>
      </c>
      <c r="AA16" s="35">
        <f t="shared" ref="AA16:AA31" si="10">Z16/Y16*100</f>
        <v>0</v>
      </c>
      <c r="AB16" s="37">
        <f t="shared" si="0"/>
        <v>823.94</v>
      </c>
      <c r="AC16" s="36">
        <f>AC21+AC26+AC31</f>
        <v>0</v>
      </c>
      <c r="AD16" s="35">
        <f t="shared" ref="AD16:AD31" si="11">AC16/AB16*100</f>
        <v>0</v>
      </c>
      <c r="AE16" s="37">
        <f t="shared" si="0"/>
        <v>898.74</v>
      </c>
      <c r="AF16" s="36">
        <f>AF21+AF26+AF31</f>
        <v>0</v>
      </c>
      <c r="AG16" s="35">
        <f t="shared" ref="AG16:AG31" si="12">AF16/AE16*100</f>
        <v>0</v>
      </c>
      <c r="AH16" s="37">
        <f t="shared" si="0"/>
        <v>811.24</v>
      </c>
      <c r="AI16" s="36">
        <f>AI21+AI26+AI31</f>
        <v>0</v>
      </c>
      <c r="AJ16" s="35">
        <f t="shared" ref="AJ16:AJ29" si="13">AI16/AH16*100</f>
        <v>0</v>
      </c>
      <c r="AK16" s="37">
        <f t="shared" si="0"/>
        <v>795.43</v>
      </c>
      <c r="AL16" s="36">
        <v>0</v>
      </c>
      <c r="AM16" s="35">
        <f t="shared" ref="AM16:AM31" si="14">AL16/AK16*100</f>
        <v>0</v>
      </c>
      <c r="AN16" s="90">
        <f t="shared" si="0"/>
        <v>764.43</v>
      </c>
      <c r="AO16" s="36">
        <v>0</v>
      </c>
      <c r="AP16" s="91">
        <v>0</v>
      </c>
      <c r="AQ16" s="23"/>
    </row>
    <row r="17" spans="1:43" ht="26.25" customHeight="1" x14ac:dyDescent="0.25">
      <c r="A17" s="172"/>
      <c r="B17" s="151"/>
      <c r="C17" s="21" t="s">
        <v>24</v>
      </c>
      <c r="D17" s="51">
        <f>G17+J17+M17+P17+S17+V17+Y17+AB17+AE17+AH17+AK17+AN17</f>
        <v>5450.2800000000007</v>
      </c>
      <c r="E17" s="51">
        <f t="shared" si="1"/>
        <v>0</v>
      </c>
      <c r="F17" s="33">
        <v>0</v>
      </c>
      <c r="G17" s="34">
        <f t="shared" ref="G17" si="15">G22+G27+G32</f>
        <v>0</v>
      </c>
      <c r="H17" s="35">
        <f>H22+H27+H32</f>
        <v>0</v>
      </c>
      <c r="I17" s="35">
        <v>0</v>
      </c>
      <c r="J17" s="34">
        <f t="shared" ref="J17" si="16">J22+J27+J32</f>
        <v>0</v>
      </c>
      <c r="K17" s="35">
        <v>0</v>
      </c>
      <c r="L17" s="35">
        <v>0</v>
      </c>
      <c r="M17" s="34">
        <f>M22+M27+M32</f>
        <v>0</v>
      </c>
      <c r="N17" s="36">
        <f>N22+N27+N32</f>
        <v>0</v>
      </c>
      <c r="O17" s="35">
        <v>0</v>
      </c>
      <c r="P17" s="34">
        <f t="shared" si="0"/>
        <v>605.58000000000004</v>
      </c>
      <c r="Q17" s="36">
        <f>Q22+Q26+Q32</f>
        <v>0</v>
      </c>
      <c r="R17" s="36">
        <v>0</v>
      </c>
      <c r="S17" s="34">
        <f t="shared" si="0"/>
        <v>605.59</v>
      </c>
      <c r="T17" s="36">
        <v>0</v>
      </c>
      <c r="U17" s="35">
        <v>0</v>
      </c>
      <c r="V17" s="34">
        <f t="shared" si="0"/>
        <v>605.59</v>
      </c>
      <c r="W17" s="47">
        <v>0</v>
      </c>
      <c r="X17" s="35">
        <v>0</v>
      </c>
      <c r="Y17" s="34">
        <f>Y22</f>
        <v>605.59</v>
      </c>
      <c r="Z17" s="36">
        <v>0</v>
      </c>
      <c r="AA17" s="35">
        <v>0</v>
      </c>
      <c r="AB17" s="34">
        <f>AB22</f>
        <v>605.59</v>
      </c>
      <c r="AC17" s="36">
        <v>0</v>
      </c>
      <c r="AD17" s="35">
        <v>0</v>
      </c>
      <c r="AE17" s="34">
        <f t="shared" si="0"/>
        <v>605.59</v>
      </c>
      <c r="AF17" s="36">
        <v>0</v>
      </c>
      <c r="AG17" s="35">
        <v>0</v>
      </c>
      <c r="AH17" s="34">
        <f t="shared" si="0"/>
        <v>605.59</v>
      </c>
      <c r="AI17" s="36">
        <v>0</v>
      </c>
      <c r="AJ17" s="35">
        <v>0</v>
      </c>
      <c r="AK17" s="34">
        <f t="shared" si="0"/>
        <v>605.59</v>
      </c>
      <c r="AL17" s="36">
        <v>0</v>
      </c>
      <c r="AM17" s="35">
        <v>0</v>
      </c>
      <c r="AN17" s="92">
        <f t="shared" si="0"/>
        <v>605.57000000000005</v>
      </c>
      <c r="AO17" s="36">
        <v>0</v>
      </c>
      <c r="AP17" s="91">
        <v>0</v>
      </c>
      <c r="AQ17" s="23"/>
    </row>
    <row r="18" spans="1:43" ht="26.25" customHeight="1" x14ac:dyDescent="0.25">
      <c r="A18" s="173"/>
      <c r="B18" s="152"/>
      <c r="C18" s="18" t="s">
        <v>25</v>
      </c>
      <c r="D18" s="51">
        <f t="shared" si="3"/>
        <v>0</v>
      </c>
      <c r="E18" s="51">
        <f t="shared" si="1"/>
        <v>0</v>
      </c>
      <c r="F18" s="33">
        <v>0</v>
      </c>
      <c r="G18" s="38">
        <v>0</v>
      </c>
      <c r="H18" s="33">
        <f>H23+H28+H33</f>
        <v>0</v>
      </c>
      <c r="I18" s="35">
        <v>0</v>
      </c>
      <c r="J18" s="38">
        <v>0</v>
      </c>
      <c r="K18" s="35">
        <v>0</v>
      </c>
      <c r="L18" s="35">
        <v>0</v>
      </c>
      <c r="M18" s="38">
        <v>0</v>
      </c>
      <c r="N18" s="39">
        <f>N23+N28+N33</f>
        <v>0</v>
      </c>
      <c r="O18" s="35">
        <v>0</v>
      </c>
      <c r="P18" s="38">
        <v>0</v>
      </c>
      <c r="Q18" s="39">
        <v>0</v>
      </c>
      <c r="R18" s="36">
        <v>0</v>
      </c>
      <c r="S18" s="38">
        <v>0</v>
      </c>
      <c r="T18" s="39">
        <v>0</v>
      </c>
      <c r="U18" s="35">
        <v>0</v>
      </c>
      <c r="V18" s="38">
        <v>0</v>
      </c>
      <c r="W18" s="48">
        <v>0</v>
      </c>
      <c r="X18" s="35">
        <v>0</v>
      </c>
      <c r="Y18" s="38">
        <v>0</v>
      </c>
      <c r="Z18" s="39">
        <v>0</v>
      </c>
      <c r="AA18" s="35">
        <v>0</v>
      </c>
      <c r="AB18" s="38">
        <v>0</v>
      </c>
      <c r="AC18" s="39">
        <v>0</v>
      </c>
      <c r="AD18" s="35">
        <v>0</v>
      </c>
      <c r="AE18" s="38">
        <v>0</v>
      </c>
      <c r="AF18" s="33">
        <v>0</v>
      </c>
      <c r="AG18" s="35">
        <v>0</v>
      </c>
      <c r="AH18" s="38">
        <v>0</v>
      </c>
      <c r="AI18" s="39">
        <v>0</v>
      </c>
      <c r="AJ18" s="35">
        <v>0</v>
      </c>
      <c r="AK18" s="38">
        <v>0</v>
      </c>
      <c r="AL18" s="39">
        <v>0</v>
      </c>
      <c r="AM18" s="35">
        <v>0</v>
      </c>
      <c r="AN18" s="93">
        <v>0</v>
      </c>
      <c r="AO18" s="39">
        <v>0</v>
      </c>
      <c r="AP18" s="39">
        <v>0</v>
      </c>
      <c r="AQ18" s="23"/>
    </row>
    <row r="19" spans="1:43" ht="39" customHeight="1" x14ac:dyDescent="0.25">
      <c r="A19" s="167" t="s">
        <v>26</v>
      </c>
      <c r="B19" s="153" t="s">
        <v>27</v>
      </c>
      <c r="C19" s="18" t="s">
        <v>21</v>
      </c>
      <c r="D19" s="49">
        <f>G19+J19+M19+P19+S19+V19+Y19+AB19+AE19+AH19+AK19+AN19</f>
        <v>21003.420000000006</v>
      </c>
      <c r="E19" s="49">
        <f t="shared" si="1"/>
        <v>51.019999999999996</v>
      </c>
      <c r="F19" s="40">
        <f t="shared" ref="F19:O19" si="17">F20+F21+F22</f>
        <v>0.78658094753557495</v>
      </c>
      <c r="G19" s="40">
        <f t="shared" si="17"/>
        <v>0</v>
      </c>
      <c r="H19" s="40">
        <f t="shared" si="17"/>
        <v>0</v>
      </c>
      <c r="I19" s="40" t="e">
        <f t="shared" si="17"/>
        <v>#DIV/0!</v>
      </c>
      <c r="J19" s="40">
        <f t="shared" si="17"/>
        <v>126.7</v>
      </c>
      <c r="K19" s="40">
        <f t="shared" si="17"/>
        <v>2.83</v>
      </c>
      <c r="L19" s="40" t="e">
        <f t="shared" si="17"/>
        <v>#DIV/0!</v>
      </c>
      <c r="M19" s="40">
        <f t="shared" si="17"/>
        <v>175.2</v>
      </c>
      <c r="N19" s="40">
        <f t="shared" si="17"/>
        <v>48.19</v>
      </c>
      <c r="O19" s="40">
        <f t="shared" si="17"/>
        <v>39.21074043938161</v>
      </c>
      <c r="P19" s="40">
        <f>P20+P21+P22+P23</f>
        <v>1506.6200000000001</v>
      </c>
      <c r="Q19" s="40">
        <f>Q20+Q21+Q22+Q23</f>
        <v>0</v>
      </c>
      <c r="R19" s="41">
        <f t="shared" si="7"/>
        <v>0</v>
      </c>
      <c r="S19" s="40">
        <f>S20+S22+S21</f>
        <v>4881.130000000001</v>
      </c>
      <c r="T19" s="40">
        <f>T20+T21+T22</f>
        <v>0</v>
      </c>
      <c r="U19" s="41">
        <f t="shared" si="8"/>
        <v>0</v>
      </c>
      <c r="V19" s="40">
        <f>V20+V21+V22</f>
        <v>3309.23</v>
      </c>
      <c r="W19" s="49">
        <f>W20+W21+W23+W22</f>
        <v>0</v>
      </c>
      <c r="X19" s="41">
        <f t="shared" si="9"/>
        <v>0</v>
      </c>
      <c r="Y19" s="40">
        <f>Y20+Y21+Y22</f>
        <v>3192.03</v>
      </c>
      <c r="Z19" s="40">
        <f>Z20+Z21</f>
        <v>0</v>
      </c>
      <c r="AA19" s="41">
        <f t="shared" si="10"/>
        <v>0</v>
      </c>
      <c r="AB19" s="40">
        <f>AB20+AB21+AB22</f>
        <v>1964.0300000000002</v>
      </c>
      <c r="AC19" s="40">
        <f>AC20+AC21</f>
        <v>0</v>
      </c>
      <c r="AD19" s="41">
        <f t="shared" si="11"/>
        <v>0</v>
      </c>
      <c r="AE19" s="40">
        <f>AE20+AE21+AE22</f>
        <v>1646.83</v>
      </c>
      <c r="AF19" s="40">
        <f>AF20+AF21</f>
        <v>0</v>
      </c>
      <c r="AG19" s="41">
        <f t="shared" si="12"/>
        <v>0</v>
      </c>
      <c r="AH19" s="40">
        <f>AH20+AH21+AH22</f>
        <v>1425.13</v>
      </c>
      <c r="AI19" s="40">
        <f>AI20+AI21</f>
        <v>0</v>
      </c>
      <c r="AJ19" s="41">
        <f t="shared" si="13"/>
        <v>0</v>
      </c>
      <c r="AK19" s="40">
        <f>AK20+AK21+AK22</f>
        <v>1406.52</v>
      </c>
      <c r="AL19" s="40">
        <f>AL20+AL21</f>
        <v>0</v>
      </c>
      <c r="AM19" s="41">
        <f t="shared" si="14"/>
        <v>0</v>
      </c>
      <c r="AN19" s="40">
        <f>AN20+AN21+AN22</f>
        <v>1370</v>
      </c>
      <c r="AO19" s="40">
        <v>0</v>
      </c>
      <c r="AP19" s="40">
        <v>0</v>
      </c>
      <c r="AQ19" s="19"/>
    </row>
    <row r="20" spans="1:43" ht="26.25" customHeight="1" x14ac:dyDescent="0.25">
      <c r="A20" s="168"/>
      <c r="B20" s="154"/>
      <c r="C20" s="21" t="s">
        <v>22</v>
      </c>
      <c r="D20" s="51">
        <f>G20+J20+M20+P20+S20+V20+Y20+AB20+AE20+AH20+AK20+AN20</f>
        <v>6486.3</v>
      </c>
      <c r="E20" s="51">
        <f t="shared" si="1"/>
        <v>51.019999999999996</v>
      </c>
      <c r="F20" s="33">
        <f t="shared" si="2"/>
        <v>0.78658094753557495</v>
      </c>
      <c r="G20" s="38">
        <v>0</v>
      </c>
      <c r="H20" s="33">
        <v>0</v>
      </c>
      <c r="I20" s="35" t="e">
        <f t="shared" si="4"/>
        <v>#DIV/0!</v>
      </c>
      <c r="J20" s="38">
        <f>123.7+3</f>
        <v>126.7</v>
      </c>
      <c r="K20" s="35">
        <v>2.83</v>
      </c>
      <c r="L20" s="35">
        <f t="shared" si="5"/>
        <v>2.2336227308603003</v>
      </c>
      <c r="M20" s="38">
        <v>122.9</v>
      </c>
      <c r="N20" s="119">
        <v>48.19</v>
      </c>
      <c r="O20" s="35">
        <f t="shared" si="6"/>
        <v>39.21074043938161</v>
      </c>
      <c r="P20" s="38">
        <v>19.2</v>
      </c>
      <c r="Q20" s="39">
        <v>0</v>
      </c>
      <c r="R20" s="36">
        <f t="shared" si="7"/>
        <v>0</v>
      </c>
      <c r="S20" s="38">
        <v>1813.9</v>
      </c>
      <c r="T20" s="39">
        <v>0</v>
      </c>
      <c r="U20" s="35">
        <f t="shared" si="8"/>
        <v>0</v>
      </c>
      <c r="V20" s="38">
        <v>1890.8</v>
      </c>
      <c r="W20" s="48">
        <v>0</v>
      </c>
      <c r="X20" s="35">
        <f t="shared" si="9"/>
        <v>0</v>
      </c>
      <c r="Y20" s="38">
        <v>1822</v>
      </c>
      <c r="Z20" s="39">
        <v>0</v>
      </c>
      <c r="AA20" s="35">
        <f>Z20/Y20*100</f>
        <v>0</v>
      </c>
      <c r="AB20" s="38">
        <v>534.5</v>
      </c>
      <c r="AC20" s="39">
        <v>0</v>
      </c>
      <c r="AD20" s="35">
        <f t="shared" si="11"/>
        <v>0</v>
      </c>
      <c r="AE20" s="38">
        <v>142.5</v>
      </c>
      <c r="AF20" s="39">
        <v>0</v>
      </c>
      <c r="AG20" s="35">
        <v>0</v>
      </c>
      <c r="AH20" s="38">
        <v>8.3000000000000007</v>
      </c>
      <c r="AI20" s="39">
        <v>0</v>
      </c>
      <c r="AJ20" s="35">
        <v>0</v>
      </c>
      <c r="AK20" s="38">
        <v>5.5</v>
      </c>
      <c r="AL20" s="39">
        <v>0</v>
      </c>
      <c r="AM20" s="35">
        <f t="shared" si="14"/>
        <v>0</v>
      </c>
      <c r="AN20" s="93">
        <v>0</v>
      </c>
      <c r="AO20" s="39">
        <v>0</v>
      </c>
      <c r="AP20" s="89">
        <v>0</v>
      </c>
      <c r="AQ20" s="22"/>
    </row>
    <row r="21" spans="1:43" ht="26.25" customHeight="1" x14ac:dyDescent="0.25">
      <c r="A21" s="168"/>
      <c r="B21" s="154"/>
      <c r="C21" s="18" t="s">
        <v>23</v>
      </c>
      <c r="D21" s="51">
        <f>G21+J21+M21+P21+S21+V21+Y21+AB21+AE21+AH21+AK21+AN21</f>
        <v>9066.84</v>
      </c>
      <c r="E21" s="51">
        <f t="shared" si="1"/>
        <v>0</v>
      </c>
      <c r="F21" s="33">
        <f t="shared" si="2"/>
        <v>0</v>
      </c>
      <c r="G21" s="38">
        <v>0</v>
      </c>
      <c r="H21" s="33">
        <v>0</v>
      </c>
      <c r="I21" s="35" t="e">
        <f t="shared" si="4"/>
        <v>#DIV/0!</v>
      </c>
      <c r="J21" s="38">
        <v>0</v>
      </c>
      <c r="K21" s="35">
        <v>0</v>
      </c>
      <c r="L21" s="35" t="e">
        <f>K21/J21*100</f>
        <v>#DIV/0!</v>
      </c>
      <c r="M21" s="38">
        <v>52.3</v>
      </c>
      <c r="N21" s="39">
        <v>0</v>
      </c>
      <c r="O21" s="35">
        <f t="shared" si="6"/>
        <v>0</v>
      </c>
      <c r="P21" s="38">
        <f>117.4+764.44</f>
        <v>881.84</v>
      </c>
      <c r="Q21" s="39">
        <v>0</v>
      </c>
      <c r="R21" s="36">
        <f t="shared" si="7"/>
        <v>0</v>
      </c>
      <c r="S21" s="38">
        <f>1697.2+764.44</f>
        <v>2461.6400000000003</v>
      </c>
      <c r="T21" s="39">
        <v>0</v>
      </c>
      <c r="U21" s="35">
        <f t="shared" si="8"/>
        <v>0</v>
      </c>
      <c r="V21" s="38">
        <f>48.4+764.44</f>
        <v>812.84</v>
      </c>
      <c r="W21" s="48">
        <v>0</v>
      </c>
      <c r="X21" s="35">
        <f t="shared" si="9"/>
        <v>0</v>
      </c>
      <c r="Y21" s="38">
        <v>764.44</v>
      </c>
      <c r="Z21" s="39">
        <v>0</v>
      </c>
      <c r="AA21" s="35">
        <f t="shared" si="10"/>
        <v>0</v>
      </c>
      <c r="AB21" s="38">
        <f>59.5+764.44</f>
        <v>823.94</v>
      </c>
      <c r="AC21" s="39">
        <v>0</v>
      </c>
      <c r="AD21" s="35">
        <f t="shared" si="11"/>
        <v>0</v>
      </c>
      <c r="AE21" s="38">
        <f>134.3+764.44</f>
        <v>898.74</v>
      </c>
      <c r="AF21" s="39">
        <v>0</v>
      </c>
      <c r="AG21" s="35">
        <f t="shared" si="12"/>
        <v>0</v>
      </c>
      <c r="AH21" s="38">
        <f>46.8+764.44</f>
        <v>811.24</v>
      </c>
      <c r="AI21" s="39">
        <v>0</v>
      </c>
      <c r="AJ21" s="35">
        <v>0</v>
      </c>
      <c r="AK21" s="38">
        <f>31+764.43</f>
        <v>795.43</v>
      </c>
      <c r="AL21" s="39">
        <v>0</v>
      </c>
      <c r="AM21" s="35">
        <v>0</v>
      </c>
      <c r="AN21" s="93">
        <v>764.43</v>
      </c>
      <c r="AO21" s="39">
        <v>0</v>
      </c>
      <c r="AP21" s="89">
        <v>0</v>
      </c>
      <c r="AQ21" s="23"/>
    </row>
    <row r="22" spans="1:43" ht="26.25" customHeight="1" x14ac:dyDescent="0.25">
      <c r="A22" s="168"/>
      <c r="B22" s="154"/>
      <c r="C22" s="21" t="s">
        <v>24</v>
      </c>
      <c r="D22" s="51">
        <f t="shared" si="3"/>
        <v>5450.2800000000007</v>
      </c>
      <c r="E22" s="51">
        <f t="shared" si="1"/>
        <v>0</v>
      </c>
      <c r="F22" s="33">
        <v>0</v>
      </c>
      <c r="G22" s="38">
        <v>0</v>
      </c>
      <c r="H22" s="33">
        <v>0</v>
      </c>
      <c r="I22" s="35">
        <v>0</v>
      </c>
      <c r="J22" s="38">
        <v>0</v>
      </c>
      <c r="K22" s="35">
        <v>0</v>
      </c>
      <c r="L22" s="35">
        <v>0</v>
      </c>
      <c r="M22" s="38">
        <v>0</v>
      </c>
      <c r="N22" s="39">
        <v>0</v>
      </c>
      <c r="O22" s="35">
        <v>0</v>
      </c>
      <c r="P22" s="38">
        <v>605.58000000000004</v>
      </c>
      <c r="Q22" s="39">
        <v>0</v>
      </c>
      <c r="R22" s="36">
        <v>0</v>
      </c>
      <c r="S22" s="38">
        <v>605.59</v>
      </c>
      <c r="T22" s="39">
        <v>0</v>
      </c>
      <c r="U22" s="35">
        <v>0</v>
      </c>
      <c r="V22" s="38">
        <v>605.59</v>
      </c>
      <c r="W22" s="48">
        <v>0</v>
      </c>
      <c r="X22" s="35">
        <v>0</v>
      </c>
      <c r="Y22" s="38">
        <v>605.59</v>
      </c>
      <c r="Z22" s="39">
        <v>0</v>
      </c>
      <c r="AA22" s="35">
        <v>0</v>
      </c>
      <c r="AB22" s="38">
        <v>605.59</v>
      </c>
      <c r="AC22" s="39">
        <v>0</v>
      </c>
      <c r="AD22" s="35">
        <v>0</v>
      </c>
      <c r="AE22" s="38">
        <v>605.59</v>
      </c>
      <c r="AF22" s="39">
        <v>0</v>
      </c>
      <c r="AG22" s="35">
        <v>0</v>
      </c>
      <c r="AH22" s="38">
        <v>605.59</v>
      </c>
      <c r="AI22" s="39">
        <v>0</v>
      </c>
      <c r="AJ22" s="35">
        <v>0</v>
      </c>
      <c r="AK22" s="38">
        <v>605.59</v>
      </c>
      <c r="AL22" s="39">
        <v>0</v>
      </c>
      <c r="AM22" s="35">
        <v>0</v>
      </c>
      <c r="AN22" s="93">
        <v>605.57000000000005</v>
      </c>
      <c r="AO22" s="39">
        <v>0</v>
      </c>
      <c r="AP22" s="89">
        <v>0</v>
      </c>
      <c r="AQ22" s="23"/>
    </row>
    <row r="23" spans="1:43" ht="26.25" customHeight="1" x14ac:dyDescent="0.25">
      <c r="A23" s="169"/>
      <c r="B23" s="155"/>
      <c r="C23" s="18" t="s">
        <v>25</v>
      </c>
      <c r="D23" s="51">
        <f t="shared" si="3"/>
        <v>0</v>
      </c>
      <c r="E23" s="51">
        <f t="shared" si="1"/>
        <v>0</v>
      </c>
      <c r="F23" s="33">
        <v>0</v>
      </c>
      <c r="G23" s="38">
        <v>0</v>
      </c>
      <c r="H23" s="33">
        <v>0</v>
      </c>
      <c r="I23" s="35">
        <v>0</v>
      </c>
      <c r="J23" s="38">
        <v>0</v>
      </c>
      <c r="K23" s="35">
        <v>0</v>
      </c>
      <c r="L23" s="35">
        <v>0</v>
      </c>
      <c r="M23" s="38">
        <v>0</v>
      </c>
      <c r="N23" s="39">
        <v>0</v>
      </c>
      <c r="O23" s="35">
        <v>0</v>
      </c>
      <c r="P23" s="38">
        <v>0</v>
      </c>
      <c r="Q23" s="39">
        <v>0</v>
      </c>
      <c r="R23" s="36">
        <v>0</v>
      </c>
      <c r="S23" s="38">
        <v>0</v>
      </c>
      <c r="T23" s="39">
        <v>0</v>
      </c>
      <c r="U23" s="35">
        <v>0</v>
      </c>
      <c r="V23" s="38">
        <v>0</v>
      </c>
      <c r="W23" s="48">
        <v>0</v>
      </c>
      <c r="X23" s="35">
        <v>0</v>
      </c>
      <c r="Y23" s="38">
        <v>0</v>
      </c>
      <c r="Z23" s="39">
        <v>0</v>
      </c>
      <c r="AA23" s="35">
        <v>0</v>
      </c>
      <c r="AB23" s="38">
        <v>0</v>
      </c>
      <c r="AC23" s="39">
        <v>0</v>
      </c>
      <c r="AD23" s="35">
        <v>0</v>
      </c>
      <c r="AE23" s="38">
        <v>0</v>
      </c>
      <c r="AF23" s="39">
        <v>0</v>
      </c>
      <c r="AG23" s="35">
        <v>0</v>
      </c>
      <c r="AH23" s="38">
        <v>0</v>
      </c>
      <c r="AI23" s="39">
        <v>0</v>
      </c>
      <c r="AJ23" s="35">
        <v>0</v>
      </c>
      <c r="AK23" s="38">
        <v>0</v>
      </c>
      <c r="AL23" s="39">
        <v>0</v>
      </c>
      <c r="AM23" s="35">
        <v>0</v>
      </c>
      <c r="AN23" s="93">
        <v>0</v>
      </c>
      <c r="AO23" s="39">
        <v>0</v>
      </c>
      <c r="AP23" s="39">
        <v>0</v>
      </c>
      <c r="AQ23" s="23"/>
    </row>
    <row r="24" spans="1:43" ht="37.5" customHeight="1" x14ac:dyDescent="0.25">
      <c r="A24" s="167" t="s">
        <v>30</v>
      </c>
      <c r="B24" s="153" t="s">
        <v>28</v>
      </c>
      <c r="C24" s="18" t="s">
        <v>21</v>
      </c>
      <c r="D24" s="49">
        <f>G24+J24+M24+P24+S24+V24+Y24+AB24+AE24+AH24+AK24+AN24</f>
        <v>5225</v>
      </c>
      <c r="E24" s="49">
        <f t="shared" si="1"/>
        <v>672.41</v>
      </c>
      <c r="F24" s="40">
        <f t="shared" si="2"/>
        <v>12.869090909090907</v>
      </c>
      <c r="G24" s="40">
        <f>G25+G26</f>
        <v>0</v>
      </c>
      <c r="H24" s="40">
        <f>H25+H26+H27+H28</f>
        <v>0</v>
      </c>
      <c r="I24" s="41">
        <v>0</v>
      </c>
      <c r="J24" s="40">
        <f>J25+J26+J27</f>
        <v>150</v>
      </c>
      <c r="K24" s="41">
        <f>K25+K26+K27+K28</f>
        <v>40.53</v>
      </c>
      <c r="L24" s="41">
        <v>0</v>
      </c>
      <c r="M24" s="40">
        <f>M25+M26+M27</f>
        <v>895.4</v>
      </c>
      <c r="N24" s="40">
        <f>N25+N26+N27+N28</f>
        <v>631.88</v>
      </c>
      <c r="O24" s="41">
        <f t="shared" si="6"/>
        <v>70.569577842305122</v>
      </c>
      <c r="P24" s="40">
        <f>P25+P26+P27</f>
        <v>437</v>
      </c>
      <c r="Q24" s="40">
        <f>Q25+Q26+Q27+Q28</f>
        <v>0</v>
      </c>
      <c r="R24" s="41">
        <f t="shared" si="7"/>
        <v>0</v>
      </c>
      <c r="S24" s="40">
        <f>S25+S26+S27</f>
        <v>702.1</v>
      </c>
      <c r="T24" s="40">
        <f>T25</f>
        <v>0</v>
      </c>
      <c r="U24" s="41">
        <f t="shared" si="8"/>
        <v>0</v>
      </c>
      <c r="V24" s="40">
        <f>V25+V26+V27</f>
        <v>1197</v>
      </c>
      <c r="W24" s="49">
        <f>W25+W26+W27+W28</f>
        <v>0</v>
      </c>
      <c r="X24" s="41">
        <f t="shared" si="9"/>
        <v>0</v>
      </c>
      <c r="Y24" s="40">
        <f>Y25+Y26+Y27</f>
        <v>400</v>
      </c>
      <c r="Z24" s="40">
        <f>Z25</f>
        <v>0</v>
      </c>
      <c r="AA24" s="41">
        <f t="shared" si="10"/>
        <v>0</v>
      </c>
      <c r="AB24" s="40">
        <f>AB25+AB26+AB27</f>
        <v>425.5</v>
      </c>
      <c r="AC24" s="40">
        <f>AC25</f>
        <v>0</v>
      </c>
      <c r="AD24" s="41">
        <f t="shared" si="11"/>
        <v>0</v>
      </c>
      <c r="AE24" s="40">
        <f>AE25+AE26</f>
        <v>318</v>
      </c>
      <c r="AF24" s="40">
        <f>AF25+AF26</f>
        <v>0</v>
      </c>
      <c r="AG24" s="41">
        <f t="shared" si="12"/>
        <v>0</v>
      </c>
      <c r="AH24" s="40">
        <f>AH25+AH26</f>
        <v>100</v>
      </c>
      <c r="AI24" s="40">
        <f>AI25</f>
        <v>0</v>
      </c>
      <c r="AJ24" s="41">
        <f t="shared" si="13"/>
        <v>0</v>
      </c>
      <c r="AK24" s="40">
        <f>AK25+AK26</f>
        <v>200</v>
      </c>
      <c r="AL24" s="40">
        <f>AL25</f>
        <v>0</v>
      </c>
      <c r="AM24" s="41">
        <f t="shared" si="14"/>
        <v>0</v>
      </c>
      <c r="AN24" s="94">
        <f>AN25+AN26</f>
        <v>400</v>
      </c>
      <c r="AO24" s="40">
        <v>0</v>
      </c>
      <c r="AP24" s="40">
        <v>0</v>
      </c>
      <c r="AQ24" s="19"/>
    </row>
    <row r="25" spans="1:43" ht="26.25" customHeight="1" x14ac:dyDescent="0.25">
      <c r="A25" s="168"/>
      <c r="B25" s="154"/>
      <c r="C25" s="18" t="s">
        <v>22</v>
      </c>
      <c r="D25" s="51">
        <f>G25+J25+M25+P25+S25+V25+Y25+AB25+AE25+AH25+AK25+AN25</f>
        <v>5225</v>
      </c>
      <c r="E25" s="51">
        <f t="shared" si="1"/>
        <v>672.41</v>
      </c>
      <c r="F25" s="33">
        <f t="shared" si="2"/>
        <v>12.869090909090907</v>
      </c>
      <c r="G25" s="38">
        <v>0</v>
      </c>
      <c r="H25" s="33">
        <v>0</v>
      </c>
      <c r="I25" s="35"/>
      <c r="J25" s="38">
        <v>150</v>
      </c>
      <c r="K25" s="35">
        <v>40.53</v>
      </c>
      <c r="L25" s="35">
        <v>0</v>
      </c>
      <c r="M25" s="38">
        <v>895.4</v>
      </c>
      <c r="N25" s="119">
        <v>631.88</v>
      </c>
      <c r="O25" s="35">
        <v>0</v>
      </c>
      <c r="P25" s="38">
        <v>437</v>
      </c>
      <c r="Q25" s="39">
        <v>0</v>
      </c>
      <c r="R25" s="36">
        <f t="shared" si="7"/>
        <v>0</v>
      </c>
      <c r="S25" s="38">
        <v>702.1</v>
      </c>
      <c r="T25" s="39">
        <v>0</v>
      </c>
      <c r="U25" s="35">
        <f t="shared" si="8"/>
        <v>0</v>
      </c>
      <c r="V25" s="38">
        <v>1197</v>
      </c>
      <c r="W25" s="48">
        <v>0</v>
      </c>
      <c r="X25" s="35">
        <f t="shared" si="9"/>
        <v>0</v>
      </c>
      <c r="Y25" s="38">
        <v>400</v>
      </c>
      <c r="Z25" s="39">
        <v>0</v>
      </c>
      <c r="AA25" s="35">
        <v>0</v>
      </c>
      <c r="AB25" s="38">
        <v>425.5</v>
      </c>
      <c r="AC25" s="39">
        <v>0</v>
      </c>
      <c r="AD25" s="35">
        <f t="shared" si="11"/>
        <v>0</v>
      </c>
      <c r="AE25" s="38">
        <v>318</v>
      </c>
      <c r="AF25" s="39">
        <v>0</v>
      </c>
      <c r="AG25" s="35">
        <f t="shared" si="12"/>
        <v>0</v>
      </c>
      <c r="AH25" s="38">
        <v>100</v>
      </c>
      <c r="AI25" s="39">
        <v>0</v>
      </c>
      <c r="AJ25" s="35">
        <f t="shared" si="13"/>
        <v>0</v>
      </c>
      <c r="AK25" s="38">
        <v>200</v>
      </c>
      <c r="AL25" s="39">
        <v>0</v>
      </c>
      <c r="AM25" s="35">
        <f t="shared" si="14"/>
        <v>0</v>
      </c>
      <c r="AN25" s="93">
        <v>400</v>
      </c>
      <c r="AO25" s="39">
        <v>0</v>
      </c>
      <c r="AP25" s="89">
        <v>0</v>
      </c>
      <c r="AQ25" s="22"/>
    </row>
    <row r="26" spans="1:43" ht="26.25" customHeight="1" x14ac:dyDescent="0.25">
      <c r="A26" s="168"/>
      <c r="B26" s="154"/>
      <c r="C26" s="21" t="s">
        <v>23</v>
      </c>
      <c r="D26" s="51">
        <f>G26+J26+M26+P26+S26+V26+Y26+AB26+AE26+AH26+AK26+AN26</f>
        <v>0</v>
      </c>
      <c r="E26" s="51">
        <f t="shared" si="1"/>
        <v>0</v>
      </c>
      <c r="F26" s="33">
        <v>0</v>
      </c>
      <c r="G26" s="38">
        <v>0</v>
      </c>
      <c r="H26" s="33">
        <v>0</v>
      </c>
      <c r="I26" s="35">
        <v>0</v>
      </c>
      <c r="J26" s="38">
        <v>0</v>
      </c>
      <c r="K26" s="35">
        <v>0</v>
      </c>
      <c r="L26" s="35">
        <v>0</v>
      </c>
      <c r="M26" s="38">
        <v>0</v>
      </c>
      <c r="N26" s="39">
        <v>0</v>
      </c>
      <c r="O26" s="35">
        <v>0</v>
      </c>
      <c r="P26" s="38">
        <v>0</v>
      </c>
      <c r="Q26" s="39">
        <v>0</v>
      </c>
      <c r="R26" s="36">
        <v>0</v>
      </c>
      <c r="S26" s="38">
        <v>0</v>
      </c>
      <c r="T26" s="39">
        <v>0</v>
      </c>
      <c r="U26" s="35">
        <v>0</v>
      </c>
      <c r="V26" s="38">
        <v>0</v>
      </c>
      <c r="W26" s="48">
        <v>0</v>
      </c>
      <c r="X26" s="35">
        <v>0</v>
      </c>
      <c r="Y26" s="38">
        <v>0</v>
      </c>
      <c r="Z26" s="39">
        <v>0</v>
      </c>
      <c r="AA26" s="35">
        <v>0</v>
      </c>
      <c r="AB26" s="38">
        <v>0</v>
      </c>
      <c r="AC26" s="39">
        <v>0</v>
      </c>
      <c r="AD26" s="35">
        <v>0</v>
      </c>
      <c r="AE26" s="38">
        <v>0</v>
      </c>
      <c r="AF26" s="39">
        <v>0</v>
      </c>
      <c r="AG26" s="35">
        <v>0</v>
      </c>
      <c r="AH26" s="38">
        <v>0</v>
      </c>
      <c r="AI26" s="39">
        <v>0</v>
      </c>
      <c r="AJ26" s="35">
        <v>0</v>
      </c>
      <c r="AK26" s="38">
        <v>0</v>
      </c>
      <c r="AL26" s="39">
        <v>0</v>
      </c>
      <c r="AM26" s="35">
        <v>0</v>
      </c>
      <c r="AN26" s="93">
        <v>0</v>
      </c>
      <c r="AO26" s="39">
        <v>0</v>
      </c>
      <c r="AP26" s="89">
        <v>0</v>
      </c>
      <c r="AQ26" s="23"/>
    </row>
    <row r="27" spans="1:43" ht="26.25" customHeight="1" x14ac:dyDescent="0.25">
      <c r="A27" s="168"/>
      <c r="B27" s="154"/>
      <c r="C27" s="21" t="s">
        <v>24</v>
      </c>
      <c r="D27" s="51">
        <f t="shared" si="3"/>
        <v>0</v>
      </c>
      <c r="E27" s="51">
        <f t="shared" si="1"/>
        <v>0</v>
      </c>
      <c r="F27" s="33">
        <v>0</v>
      </c>
      <c r="G27" s="38">
        <v>0</v>
      </c>
      <c r="H27" s="33">
        <v>0</v>
      </c>
      <c r="I27" s="35">
        <v>0</v>
      </c>
      <c r="J27" s="38">
        <v>0</v>
      </c>
      <c r="K27" s="35">
        <v>0</v>
      </c>
      <c r="L27" s="35">
        <v>0</v>
      </c>
      <c r="M27" s="38">
        <v>0</v>
      </c>
      <c r="N27" s="39">
        <v>0</v>
      </c>
      <c r="O27" s="35">
        <v>0</v>
      </c>
      <c r="P27" s="38">
        <v>0</v>
      </c>
      <c r="Q27" s="39">
        <v>0</v>
      </c>
      <c r="R27" s="36">
        <v>0</v>
      </c>
      <c r="S27" s="38">
        <v>0</v>
      </c>
      <c r="T27" s="39">
        <v>0</v>
      </c>
      <c r="U27" s="35">
        <v>0</v>
      </c>
      <c r="V27" s="38">
        <v>0</v>
      </c>
      <c r="W27" s="48">
        <v>0</v>
      </c>
      <c r="X27" s="35">
        <v>0</v>
      </c>
      <c r="Y27" s="38">
        <v>0</v>
      </c>
      <c r="Z27" s="39">
        <v>0</v>
      </c>
      <c r="AA27" s="35">
        <v>0</v>
      </c>
      <c r="AB27" s="38">
        <v>0</v>
      </c>
      <c r="AC27" s="39">
        <v>0</v>
      </c>
      <c r="AD27" s="35">
        <v>0</v>
      </c>
      <c r="AE27" s="38">
        <v>0</v>
      </c>
      <c r="AF27" s="39">
        <v>0</v>
      </c>
      <c r="AG27" s="35">
        <v>0</v>
      </c>
      <c r="AH27" s="38">
        <v>0</v>
      </c>
      <c r="AI27" s="39">
        <v>0</v>
      </c>
      <c r="AJ27" s="35">
        <v>0</v>
      </c>
      <c r="AK27" s="38">
        <v>0</v>
      </c>
      <c r="AL27" s="39">
        <v>0</v>
      </c>
      <c r="AM27" s="35">
        <v>0</v>
      </c>
      <c r="AN27" s="93">
        <v>0</v>
      </c>
      <c r="AO27" s="39">
        <v>0</v>
      </c>
      <c r="AP27" s="39">
        <v>0</v>
      </c>
      <c r="AQ27" s="23"/>
    </row>
    <row r="28" spans="1:43" ht="26.25" customHeight="1" x14ac:dyDescent="0.25">
      <c r="A28" s="169"/>
      <c r="B28" s="155"/>
      <c r="C28" s="18" t="s">
        <v>25</v>
      </c>
      <c r="D28" s="51">
        <f t="shared" si="3"/>
        <v>0</v>
      </c>
      <c r="E28" s="51">
        <f t="shared" si="1"/>
        <v>0</v>
      </c>
      <c r="F28" s="33">
        <v>0</v>
      </c>
      <c r="G28" s="38">
        <v>0</v>
      </c>
      <c r="H28" s="33">
        <v>0</v>
      </c>
      <c r="I28" s="35">
        <v>0</v>
      </c>
      <c r="J28" s="38">
        <v>0</v>
      </c>
      <c r="K28" s="35">
        <v>0</v>
      </c>
      <c r="L28" s="35">
        <v>0</v>
      </c>
      <c r="M28" s="38">
        <v>0</v>
      </c>
      <c r="N28" s="39">
        <v>0</v>
      </c>
      <c r="O28" s="35">
        <v>0</v>
      </c>
      <c r="P28" s="38">
        <v>0</v>
      </c>
      <c r="Q28" s="39">
        <v>0</v>
      </c>
      <c r="R28" s="36">
        <v>0</v>
      </c>
      <c r="S28" s="38">
        <v>0</v>
      </c>
      <c r="T28" s="39">
        <v>0</v>
      </c>
      <c r="U28" s="35">
        <v>0</v>
      </c>
      <c r="V28" s="38">
        <v>0</v>
      </c>
      <c r="W28" s="48">
        <v>0</v>
      </c>
      <c r="X28" s="35">
        <v>0</v>
      </c>
      <c r="Y28" s="38">
        <v>0</v>
      </c>
      <c r="Z28" s="39">
        <v>0</v>
      </c>
      <c r="AA28" s="35">
        <v>0</v>
      </c>
      <c r="AB28" s="38">
        <v>0</v>
      </c>
      <c r="AC28" s="39">
        <v>0</v>
      </c>
      <c r="AD28" s="35">
        <v>0</v>
      </c>
      <c r="AE28" s="38">
        <v>0</v>
      </c>
      <c r="AF28" s="39">
        <v>0</v>
      </c>
      <c r="AG28" s="35">
        <v>0</v>
      </c>
      <c r="AH28" s="38">
        <v>0</v>
      </c>
      <c r="AI28" s="39">
        <v>0</v>
      </c>
      <c r="AJ28" s="35">
        <v>0</v>
      </c>
      <c r="AK28" s="38">
        <v>0</v>
      </c>
      <c r="AL28" s="39">
        <v>0</v>
      </c>
      <c r="AM28" s="35">
        <v>0</v>
      </c>
      <c r="AN28" s="93">
        <v>0</v>
      </c>
      <c r="AO28" s="39">
        <v>0</v>
      </c>
      <c r="AP28" s="39">
        <v>0</v>
      </c>
      <c r="AQ28" s="23"/>
    </row>
    <row r="29" spans="1:43" ht="39" customHeight="1" x14ac:dyDescent="0.25">
      <c r="A29" s="167" t="s">
        <v>31</v>
      </c>
      <c r="B29" s="153" t="s">
        <v>29</v>
      </c>
      <c r="C29" s="24" t="s">
        <v>21</v>
      </c>
      <c r="D29" s="50">
        <f>G29+J29+M29+P29+S29+V29+Y29+AB29+AE29+AH29+AK29+AN29</f>
        <v>405100.79999999999</v>
      </c>
      <c r="E29" s="49">
        <f t="shared" si="1"/>
        <v>71538.58</v>
      </c>
      <c r="F29" s="40">
        <f t="shared" si="2"/>
        <v>17.659451672275146</v>
      </c>
      <c r="G29" s="42">
        <f>G30+G31</f>
        <v>13280.8</v>
      </c>
      <c r="H29" s="42">
        <f>H30+H31+H32+H33</f>
        <v>19047.900000000001</v>
      </c>
      <c r="I29" s="41">
        <f t="shared" si="4"/>
        <v>143.42434190711404</v>
      </c>
      <c r="J29" s="42">
        <f>J30+J31</f>
        <v>32635.8</v>
      </c>
      <c r="K29" s="41">
        <f>K30+K31+K32+K33</f>
        <v>21818.799999999999</v>
      </c>
      <c r="L29" s="41">
        <f t="shared" si="5"/>
        <v>66.855416444517985</v>
      </c>
      <c r="M29" s="42">
        <f>M30+M31</f>
        <v>35797.5</v>
      </c>
      <c r="N29" s="42">
        <f>N30+N31+N32+N33</f>
        <v>30671.88</v>
      </c>
      <c r="O29" s="41">
        <f t="shared" si="6"/>
        <v>85.681625811858382</v>
      </c>
      <c r="P29" s="42">
        <f>P30+P31</f>
        <v>34262.899999999994</v>
      </c>
      <c r="Q29" s="42">
        <f>Q30+Q31+Q32</f>
        <v>0</v>
      </c>
      <c r="R29" s="41">
        <f t="shared" si="7"/>
        <v>0</v>
      </c>
      <c r="S29" s="42">
        <f>S30+S31</f>
        <v>41712.299999999996</v>
      </c>
      <c r="T29" s="42">
        <f>T30+T31+T32+T33</f>
        <v>0</v>
      </c>
      <c r="U29" s="41">
        <f t="shared" si="8"/>
        <v>0</v>
      </c>
      <c r="V29" s="42">
        <f>V30+V31</f>
        <v>45100.92</v>
      </c>
      <c r="W29" s="50">
        <f>W30+W31+W32+W33</f>
        <v>0</v>
      </c>
      <c r="X29" s="41">
        <f t="shared" si="9"/>
        <v>0</v>
      </c>
      <c r="Y29" s="42">
        <f>Y30+Y31</f>
        <v>38055.530000000006</v>
      </c>
      <c r="Z29" s="42">
        <f>Z30+Z31</f>
        <v>0</v>
      </c>
      <c r="AA29" s="41">
        <f t="shared" si="10"/>
        <v>0</v>
      </c>
      <c r="AB29" s="42">
        <f>AB30+AB31</f>
        <v>38332.730000000003</v>
      </c>
      <c r="AC29" s="40">
        <f>AC30+AC31</f>
        <v>0</v>
      </c>
      <c r="AD29" s="41">
        <f t="shared" si="11"/>
        <v>0</v>
      </c>
      <c r="AE29" s="42">
        <f>AE30+AE31</f>
        <v>33930.83</v>
      </c>
      <c r="AF29" s="42">
        <f>AF30+AF31</f>
        <v>0</v>
      </c>
      <c r="AG29" s="41">
        <f t="shared" si="12"/>
        <v>0</v>
      </c>
      <c r="AH29" s="42">
        <f>AH30+AH31</f>
        <v>31302.829999999998</v>
      </c>
      <c r="AI29" s="42">
        <f>AI30+AI31</f>
        <v>0</v>
      </c>
      <c r="AJ29" s="41">
        <f t="shared" si="13"/>
        <v>0</v>
      </c>
      <c r="AK29" s="42">
        <f>AK30+AK31</f>
        <v>32195.73</v>
      </c>
      <c r="AL29" s="42">
        <f>AL30+AL31</f>
        <v>0</v>
      </c>
      <c r="AM29" s="41">
        <f t="shared" si="14"/>
        <v>0</v>
      </c>
      <c r="AN29" s="95">
        <f>AN30+AN31</f>
        <v>28492.93</v>
      </c>
      <c r="AO29" s="42">
        <v>0</v>
      </c>
      <c r="AP29" s="42">
        <v>0</v>
      </c>
      <c r="AQ29" s="19"/>
    </row>
    <row r="30" spans="1:43" ht="26.25" customHeight="1" x14ac:dyDescent="0.25">
      <c r="A30" s="168"/>
      <c r="B30" s="154"/>
      <c r="C30" s="18" t="s">
        <v>22</v>
      </c>
      <c r="D30" s="52">
        <f>G30+J30+M30+P30+S30+V30+Y30+AB30+AE30+AH30+AK30+AN30</f>
        <v>405100.79999999999</v>
      </c>
      <c r="E30" s="51">
        <f>H30+K30+N30+Q30+T30+W30+Z30+AC30+AF30+AI30+AL30+AO30</f>
        <v>71538.58</v>
      </c>
      <c r="F30" s="33">
        <v>0</v>
      </c>
      <c r="G30" s="38">
        <v>13280.8</v>
      </c>
      <c r="H30" s="33">
        <v>19047.900000000001</v>
      </c>
      <c r="I30" s="35">
        <f>H30/G30*100</f>
        <v>143.42434190711404</v>
      </c>
      <c r="J30" s="38">
        <f>32638.8-3</f>
        <v>32635.8</v>
      </c>
      <c r="K30" s="35">
        <v>21818.799999999999</v>
      </c>
      <c r="L30" s="35">
        <v>0</v>
      </c>
      <c r="M30" s="38">
        <v>35797.5</v>
      </c>
      <c r="N30" s="119">
        <v>30671.88</v>
      </c>
      <c r="O30" s="35">
        <v>0</v>
      </c>
      <c r="P30" s="38">
        <f>33901.7+361.2</f>
        <v>34262.899999999994</v>
      </c>
      <c r="Q30" s="39">
        <v>0</v>
      </c>
      <c r="R30" s="36">
        <f t="shared" si="7"/>
        <v>0</v>
      </c>
      <c r="S30" s="38">
        <f>41351.1+361.2</f>
        <v>41712.299999999996</v>
      </c>
      <c r="T30" s="39">
        <v>0</v>
      </c>
      <c r="U30" s="35">
        <f t="shared" si="8"/>
        <v>0</v>
      </c>
      <c r="V30" s="38">
        <f>44739.7+361.22</f>
        <v>45100.92</v>
      </c>
      <c r="W30" s="48">
        <v>0</v>
      </c>
      <c r="X30" s="35">
        <v>0</v>
      </c>
      <c r="Y30" s="38">
        <f>37694.3+361.23</f>
        <v>38055.530000000006</v>
      </c>
      <c r="Z30" s="39">
        <v>0</v>
      </c>
      <c r="AA30" s="35">
        <f t="shared" si="10"/>
        <v>0</v>
      </c>
      <c r="AB30" s="38">
        <f>37971.5+361.23</f>
        <v>38332.730000000003</v>
      </c>
      <c r="AC30" s="39">
        <v>0</v>
      </c>
      <c r="AD30" s="35">
        <v>0</v>
      </c>
      <c r="AE30" s="38">
        <f>33569.6+361.23</f>
        <v>33930.83</v>
      </c>
      <c r="AF30" s="39">
        <v>0</v>
      </c>
      <c r="AG30" s="35">
        <v>0</v>
      </c>
      <c r="AH30" s="38">
        <f>30941.6+361.23</f>
        <v>31302.829999999998</v>
      </c>
      <c r="AI30" s="39">
        <v>0</v>
      </c>
      <c r="AJ30" s="35">
        <v>0</v>
      </c>
      <c r="AK30" s="38">
        <f>31834.5+361.23</f>
        <v>32195.73</v>
      </c>
      <c r="AL30" s="39">
        <v>0</v>
      </c>
      <c r="AM30" s="35">
        <v>0</v>
      </c>
      <c r="AN30" s="93">
        <f>28131.7+361.23</f>
        <v>28492.93</v>
      </c>
      <c r="AO30" s="39">
        <v>0</v>
      </c>
      <c r="AP30" s="89">
        <v>0</v>
      </c>
      <c r="AQ30" s="22"/>
    </row>
    <row r="31" spans="1:43" ht="26.25" customHeight="1" x14ac:dyDescent="0.25">
      <c r="A31" s="168"/>
      <c r="B31" s="154"/>
      <c r="C31" s="21" t="s">
        <v>23</v>
      </c>
      <c r="D31" s="52">
        <f>G31+J31+M31+P31+S31+V31+Y31+AB31+AE31+AH31+AK31+AN31</f>
        <v>0</v>
      </c>
      <c r="E31" s="51">
        <f t="shared" si="1"/>
        <v>0</v>
      </c>
      <c r="F31" s="33" t="e">
        <f t="shared" si="2"/>
        <v>#DIV/0!</v>
      </c>
      <c r="G31" s="38">
        <v>0</v>
      </c>
      <c r="H31" s="33">
        <v>0</v>
      </c>
      <c r="I31" s="35" t="e">
        <f t="shared" si="4"/>
        <v>#DIV/0!</v>
      </c>
      <c r="J31" s="38">
        <v>0</v>
      </c>
      <c r="K31" s="35">
        <v>0</v>
      </c>
      <c r="L31" s="35" t="e">
        <f t="shared" si="5"/>
        <v>#DIV/0!</v>
      </c>
      <c r="M31" s="38">
        <v>0</v>
      </c>
      <c r="N31" s="39">
        <v>0</v>
      </c>
      <c r="O31" s="35" t="e">
        <f t="shared" si="6"/>
        <v>#DIV/0!</v>
      </c>
      <c r="P31" s="38">
        <v>0</v>
      </c>
      <c r="Q31" s="39">
        <v>0</v>
      </c>
      <c r="R31" s="36" t="e">
        <f t="shared" si="7"/>
        <v>#DIV/0!</v>
      </c>
      <c r="S31" s="38">
        <v>0</v>
      </c>
      <c r="T31" s="39">
        <v>0</v>
      </c>
      <c r="U31" s="35" t="e">
        <f t="shared" si="8"/>
        <v>#DIV/0!</v>
      </c>
      <c r="V31" s="38">
        <v>0</v>
      </c>
      <c r="W31" s="48">
        <v>0</v>
      </c>
      <c r="X31" s="35" t="e">
        <f t="shared" si="9"/>
        <v>#DIV/0!</v>
      </c>
      <c r="Y31" s="38">
        <v>0</v>
      </c>
      <c r="Z31" s="39">
        <v>0</v>
      </c>
      <c r="AA31" s="35" t="e">
        <f t="shared" si="10"/>
        <v>#DIV/0!</v>
      </c>
      <c r="AB31" s="38">
        <v>0</v>
      </c>
      <c r="AC31" s="39">
        <v>0</v>
      </c>
      <c r="AD31" s="35" t="e">
        <f t="shared" si="11"/>
        <v>#DIV/0!</v>
      </c>
      <c r="AE31" s="38">
        <v>0</v>
      </c>
      <c r="AF31" s="39">
        <v>0</v>
      </c>
      <c r="AG31" s="35" t="e">
        <f t="shared" si="12"/>
        <v>#DIV/0!</v>
      </c>
      <c r="AH31" s="38">
        <v>0</v>
      </c>
      <c r="AI31" s="39">
        <v>0</v>
      </c>
      <c r="AJ31" s="35">
        <v>0</v>
      </c>
      <c r="AK31" s="38">
        <v>0</v>
      </c>
      <c r="AL31" s="39">
        <v>0</v>
      </c>
      <c r="AM31" s="35" t="e">
        <f t="shared" si="14"/>
        <v>#DIV/0!</v>
      </c>
      <c r="AN31" s="93">
        <v>0</v>
      </c>
      <c r="AO31" s="39">
        <v>0</v>
      </c>
      <c r="AP31" s="89">
        <v>0</v>
      </c>
      <c r="AQ31" s="23"/>
    </row>
    <row r="32" spans="1:43" ht="26.25" customHeight="1" x14ac:dyDescent="0.25">
      <c r="A32" s="168"/>
      <c r="B32" s="154"/>
      <c r="C32" s="21" t="s">
        <v>24</v>
      </c>
      <c r="D32" s="52">
        <f t="shared" ref="D32:D33" si="18">G32+J32+M32+P32+S32+V32+Y32+AB32+AE32+AH32+AK32+AN32</f>
        <v>0</v>
      </c>
      <c r="E32" s="51">
        <f t="shared" si="1"/>
        <v>0</v>
      </c>
      <c r="F32" s="33">
        <v>0</v>
      </c>
      <c r="G32" s="38">
        <v>0</v>
      </c>
      <c r="H32" s="33">
        <v>0</v>
      </c>
      <c r="I32" s="35">
        <v>0</v>
      </c>
      <c r="J32" s="38">
        <v>0</v>
      </c>
      <c r="K32" s="35">
        <v>0</v>
      </c>
      <c r="L32" s="35">
        <v>0</v>
      </c>
      <c r="M32" s="38">
        <v>0</v>
      </c>
      <c r="N32" s="39">
        <v>0</v>
      </c>
      <c r="O32" s="35">
        <v>0</v>
      </c>
      <c r="P32" s="38">
        <v>0</v>
      </c>
      <c r="Q32" s="39">
        <v>0</v>
      </c>
      <c r="R32" s="36">
        <v>0</v>
      </c>
      <c r="S32" s="38">
        <v>0</v>
      </c>
      <c r="T32" s="39">
        <v>0</v>
      </c>
      <c r="U32" s="35">
        <v>0</v>
      </c>
      <c r="V32" s="38">
        <v>0</v>
      </c>
      <c r="W32" s="48">
        <v>0</v>
      </c>
      <c r="X32" s="35">
        <v>0</v>
      </c>
      <c r="Y32" s="38">
        <v>0</v>
      </c>
      <c r="Z32" s="39">
        <v>0</v>
      </c>
      <c r="AA32" s="35">
        <v>0</v>
      </c>
      <c r="AB32" s="38">
        <v>0</v>
      </c>
      <c r="AC32" s="96">
        <v>0</v>
      </c>
      <c r="AD32" s="35">
        <v>0</v>
      </c>
      <c r="AE32" s="38">
        <v>0</v>
      </c>
      <c r="AF32" s="39">
        <v>0</v>
      </c>
      <c r="AG32" s="35">
        <v>0</v>
      </c>
      <c r="AH32" s="38">
        <v>0</v>
      </c>
      <c r="AI32" s="39">
        <v>0</v>
      </c>
      <c r="AJ32" s="35">
        <v>0</v>
      </c>
      <c r="AK32" s="38">
        <v>0</v>
      </c>
      <c r="AL32" s="39">
        <v>0</v>
      </c>
      <c r="AM32" s="35">
        <v>0</v>
      </c>
      <c r="AN32" s="93">
        <v>0</v>
      </c>
      <c r="AO32" s="39">
        <v>0</v>
      </c>
      <c r="AP32" s="39">
        <v>0</v>
      </c>
      <c r="AQ32" s="23"/>
    </row>
    <row r="33" spans="1:43" ht="26.25" customHeight="1" x14ac:dyDescent="0.25">
      <c r="A33" s="169"/>
      <c r="B33" s="155"/>
      <c r="C33" s="18" t="s">
        <v>25</v>
      </c>
      <c r="D33" s="52">
        <f t="shared" si="18"/>
        <v>0</v>
      </c>
      <c r="E33" s="51">
        <f t="shared" si="1"/>
        <v>0</v>
      </c>
      <c r="F33" s="33">
        <v>0</v>
      </c>
      <c r="G33" s="38">
        <v>0</v>
      </c>
      <c r="H33" s="33">
        <v>0</v>
      </c>
      <c r="I33" s="35">
        <v>0</v>
      </c>
      <c r="J33" s="38">
        <v>0</v>
      </c>
      <c r="K33" s="35">
        <v>0</v>
      </c>
      <c r="L33" s="35">
        <v>0</v>
      </c>
      <c r="M33" s="38">
        <v>0</v>
      </c>
      <c r="N33" s="39">
        <v>0</v>
      </c>
      <c r="O33" s="35">
        <v>0</v>
      </c>
      <c r="P33" s="38">
        <v>0</v>
      </c>
      <c r="Q33" s="39">
        <v>0</v>
      </c>
      <c r="R33" s="36">
        <v>0</v>
      </c>
      <c r="S33" s="38">
        <v>0</v>
      </c>
      <c r="T33" s="39">
        <v>0</v>
      </c>
      <c r="U33" s="35">
        <v>0</v>
      </c>
      <c r="V33" s="38">
        <v>0</v>
      </c>
      <c r="W33" s="48">
        <v>0</v>
      </c>
      <c r="X33" s="35">
        <v>0</v>
      </c>
      <c r="Y33" s="38">
        <v>0</v>
      </c>
      <c r="Z33" s="39">
        <v>0</v>
      </c>
      <c r="AA33" s="35">
        <v>0</v>
      </c>
      <c r="AB33" s="93">
        <v>0</v>
      </c>
      <c r="AC33" s="39">
        <v>0</v>
      </c>
      <c r="AD33" s="35">
        <v>0</v>
      </c>
      <c r="AE33" s="38">
        <v>0</v>
      </c>
      <c r="AF33" s="39">
        <v>0</v>
      </c>
      <c r="AG33" s="35">
        <v>0</v>
      </c>
      <c r="AH33" s="38">
        <v>0</v>
      </c>
      <c r="AI33" s="39">
        <v>0</v>
      </c>
      <c r="AJ33" s="35">
        <v>0</v>
      </c>
      <c r="AK33" s="38">
        <v>0</v>
      </c>
      <c r="AL33" s="39">
        <v>0</v>
      </c>
      <c r="AM33" s="35">
        <v>0</v>
      </c>
      <c r="AN33" s="38">
        <v>0</v>
      </c>
      <c r="AO33" s="39">
        <v>0</v>
      </c>
      <c r="AP33" s="39">
        <v>0</v>
      </c>
      <c r="AQ33" s="23"/>
    </row>
    <row r="34" spans="1:43" x14ac:dyDescent="0.25">
      <c r="A34" s="3"/>
      <c r="B34" s="78"/>
      <c r="C34" s="77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1"/>
      <c r="X34" s="2"/>
      <c r="Y34" s="2"/>
      <c r="Z34" s="1"/>
      <c r="AA34" s="1"/>
      <c r="AB34" s="2"/>
      <c r="AC34" s="17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7"/>
      <c r="AO34" s="27"/>
      <c r="AP34" s="28"/>
      <c r="AQ34" s="28"/>
    </row>
    <row r="35" spans="1:43" x14ac:dyDescent="0.25">
      <c r="A35" s="3"/>
      <c r="B35" s="170" t="s">
        <v>44</v>
      </c>
      <c r="C35" s="170"/>
      <c r="D35" s="170"/>
      <c r="E35" s="170"/>
      <c r="F35" s="170"/>
      <c r="G35" s="170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1"/>
      <c r="X35" s="2"/>
      <c r="Y35" s="2"/>
      <c r="Z35" s="1"/>
      <c r="AA35" s="1"/>
      <c r="AB35" s="2"/>
      <c r="AC35" s="17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7"/>
      <c r="AO35" s="27"/>
      <c r="AP35" s="28"/>
      <c r="AQ35" s="28"/>
    </row>
    <row r="36" spans="1:43" ht="32.25" customHeight="1" x14ac:dyDescent="0.25">
      <c r="A36" s="3"/>
      <c r="B36" s="166" t="s">
        <v>42</v>
      </c>
      <c r="C36" s="166"/>
      <c r="D36" s="166"/>
      <c r="E36" s="166"/>
      <c r="F36" s="166"/>
      <c r="G36" s="166"/>
      <c r="H36" s="166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7"/>
      <c r="AP36" s="28"/>
      <c r="AQ36" s="28"/>
    </row>
    <row r="37" spans="1:43" x14ac:dyDescent="0.25">
      <c r="B37" t="s">
        <v>45</v>
      </c>
      <c r="G37" s="45"/>
      <c r="M37" s="45"/>
    </row>
  </sheetData>
  <mergeCells count="37">
    <mergeCell ref="AB11:AD11"/>
    <mergeCell ref="AE11:AG11"/>
    <mergeCell ref="AK9:AP9"/>
    <mergeCell ref="AH1:AP1"/>
    <mergeCell ref="Z2:AP2"/>
    <mergeCell ref="AL3:AP3"/>
    <mergeCell ref="Z1:AG1"/>
    <mergeCell ref="AD3:AG3"/>
    <mergeCell ref="A14:A18"/>
    <mergeCell ref="B14:B18"/>
    <mergeCell ref="S11:U11"/>
    <mergeCell ref="V11:X11"/>
    <mergeCell ref="Y11:AA11"/>
    <mergeCell ref="A29:A33"/>
    <mergeCell ref="B29:B33"/>
    <mergeCell ref="B35:G35"/>
    <mergeCell ref="B36:H36"/>
    <mergeCell ref="A19:A23"/>
    <mergeCell ref="B19:B23"/>
    <mergeCell ref="A24:A28"/>
    <mergeCell ref="B24:B28"/>
    <mergeCell ref="D1:O1"/>
    <mergeCell ref="A10:A12"/>
    <mergeCell ref="B10:B12"/>
    <mergeCell ref="C10:C12"/>
    <mergeCell ref="E5:Y5"/>
    <mergeCell ref="E6:Y6"/>
    <mergeCell ref="E7:Y7"/>
    <mergeCell ref="D10:F11"/>
    <mergeCell ref="G10:AP10"/>
    <mergeCell ref="G11:I11"/>
    <mergeCell ref="J11:L11"/>
    <mergeCell ref="M11:O11"/>
    <mergeCell ref="P11:R11"/>
    <mergeCell ref="AK11:AM11"/>
    <mergeCell ref="AN11:AP11"/>
    <mergeCell ref="AH11:AJ11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60" fitToWidth="0" orientation="landscape" r:id="rId1"/>
  <colBreaks count="2" manualBreakCount="2">
    <brk id="21" max="1048575" man="1"/>
    <brk id="42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5"/>
  <sheetViews>
    <sheetView view="pageBreakPreview" zoomScale="70" zoomScaleNormal="100" zoomScaleSheetLayoutView="70" workbookViewId="0">
      <selection activeCell="F15" sqref="F15"/>
    </sheetView>
  </sheetViews>
  <sheetFormatPr defaultRowHeight="15" x14ac:dyDescent="0.25"/>
  <cols>
    <col min="1" max="1" width="4.5703125" customWidth="1"/>
    <col min="2" max="2" width="27.28515625" customWidth="1"/>
    <col min="3" max="3" width="9.28515625" customWidth="1"/>
    <col min="4" max="4" width="10.28515625" customWidth="1"/>
    <col min="5" max="5" width="10" customWidth="1"/>
    <col min="6" max="6" width="8.85546875" customWidth="1"/>
    <col min="7" max="8" width="9.28515625" customWidth="1"/>
    <col min="9" max="9" width="9" customWidth="1"/>
    <col min="10" max="10" width="9.28515625" customWidth="1"/>
    <col min="11" max="11" width="11.28515625" customWidth="1"/>
    <col min="12" max="12" width="9" customWidth="1"/>
    <col min="13" max="13" width="8.28515625" customWidth="1"/>
    <col min="14" max="14" width="8.5703125" style="32" customWidth="1"/>
    <col min="15" max="15" width="8.7109375" customWidth="1"/>
    <col min="16" max="17" width="9.28515625" style="32" customWidth="1"/>
    <col min="18" max="18" width="8" style="32" customWidth="1"/>
    <col min="19" max="19" width="9.28515625" customWidth="1"/>
    <col min="20" max="20" width="9.28515625" style="32" customWidth="1"/>
    <col min="21" max="21" width="10.140625" customWidth="1"/>
    <col min="22" max="22" width="10.85546875" customWidth="1"/>
    <col min="23" max="23" width="8.7109375" customWidth="1"/>
    <col min="24" max="24" width="8" customWidth="1"/>
    <col min="25" max="25" width="9.28515625" customWidth="1"/>
    <col min="26" max="26" width="8.28515625" customWidth="1"/>
    <col min="27" max="28" width="8.42578125" customWidth="1"/>
    <col min="29" max="29" width="9.28515625" customWidth="1"/>
    <col min="30" max="30" width="8.140625" customWidth="1"/>
    <col min="31" max="31" width="11.28515625" customWidth="1"/>
    <col min="32" max="32" width="7.28515625" customWidth="1"/>
    <col min="33" max="33" width="8.140625" customWidth="1"/>
    <col min="34" max="34" width="10.5703125" customWidth="1"/>
    <col min="35" max="35" width="10.42578125" customWidth="1"/>
    <col min="36" max="36" width="5.7109375" customWidth="1"/>
    <col min="37" max="37" width="9.42578125" customWidth="1"/>
    <col min="38" max="38" width="10.28515625" customWidth="1"/>
    <col min="39" max="39" width="8.5703125" customWidth="1"/>
    <col min="40" max="40" width="8.140625" customWidth="1"/>
    <col min="41" max="42" width="4.5703125" customWidth="1"/>
    <col min="43" max="43" width="2.7109375" customWidth="1"/>
    <col min="45" max="45" width="7.28515625" customWidth="1"/>
    <col min="46" max="46" width="12.7109375" customWidth="1"/>
    <col min="47" max="47" width="13.28515625" customWidth="1"/>
    <col min="48" max="48" width="16.140625" customWidth="1"/>
    <col min="49" max="49" width="17.5703125" customWidth="1"/>
    <col min="50" max="50" width="13" customWidth="1"/>
    <col min="51" max="51" width="12.28515625" customWidth="1"/>
  </cols>
  <sheetData>
    <row r="1" spans="1:51" ht="15.75" x14ac:dyDescent="0.25">
      <c r="A1" s="4"/>
      <c r="B1" s="97"/>
      <c r="C1" s="98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101"/>
      <c r="Q1" s="101"/>
      <c r="R1" s="8"/>
      <c r="S1" s="8"/>
      <c r="T1" s="8"/>
      <c r="U1" s="8"/>
      <c r="V1" s="8"/>
      <c r="W1" s="9"/>
      <c r="X1" s="8"/>
      <c r="Y1" s="8"/>
      <c r="Z1" s="9"/>
      <c r="AA1" s="9"/>
      <c r="AB1" s="8"/>
      <c r="AC1" s="8"/>
      <c r="AD1" s="8"/>
      <c r="AE1" s="8"/>
      <c r="AF1" s="8"/>
      <c r="AG1" s="8"/>
      <c r="AH1" s="8"/>
      <c r="AI1" s="8"/>
      <c r="AJ1" s="8"/>
      <c r="AK1" s="8"/>
      <c r="AL1" s="243" t="s">
        <v>49</v>
      </c>
      <c r="AM1" s="192"/>
      <c r="AN1" s="192"/>
      <c r="AO1" s="192"/>
      <c r="AP1" s="192"/>
      <c r="AQ1" s="4"/>
      <c r="AR1" s="4"/>
      <c r="AS1" s="53"/>
      <c r="AU1" s="53"/>
      <c r="AV1" s="53"/>
      <c r="AW1" s="54"/>
      <c r="AX1" s="4"/>
      <c r="AY1" s="4"/>
    </row>
    <row r="2" spans="1:51" ht="15.75" x14ac:dyDescent="0.25">
      <c r="A2" s="4"/>
      <c r="B2" s="97"/>
      <c r="C2" s="98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01"/>
      <c r="Q2" s="101"/>
      <c r="R2" s="8"/>
      <c r="S2" s="8"/>
      <c r="T2" s="8"/>
      <c r="U2" s="8"/>
      <c r="V2" s="8"/>
      <c r="W2" s="9"/>
      <c r="X2" s="8"/>
      <c r="Y2" s="8"/>
      <c r="Z2" s="245" t="s">
        <v>50</v>
      </c>
      <c r="AA2" s="245"/>
      <c r="AB2" s="245"/>
      <c r="AC2" s="245"/>
      <c r="AD2" s="245"/>
      <c r="AE2" s="245"/>
      <c r="AF2" s="245"/>
      <c r="AG2" s="245"/>
      <c r="AH2" s="245"/>
      <c r="AI2" s="245"/>
      <c r="AJ2" s="245"/>
      <c r="AK2" s="245"/>
      <c r="AL2" s="245"/>
      <c r="AM2" s="245"/>
      <c r="AN2" s="245"/>
      <c r="AO2" s="245"/>
      <c r="AP2" s="245"/>
      <c r="AQ2" s="4"/>
      <c r="AR2" s="4"/>
      <c r="AS2" s="53"/>
      <c r="AT2" s="53"/>
      <c r="AU2" s="53"/>
      <c r="AV2" s="53"/>
      <c r="AW2" s="54"/>
      <c r="AX2" s="4"/>
      <c r="AY2" s="4"/>
    </row>
    <row r="3" spans="1:51" ht="15.75" x14ac:dyDescent="0.25">
      <c r="A3" s="4"/>
      <c r="B3" s="97"/>
      <c r="C3" s="98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01"/>
      <c r="Q3" s="101"/>
      <c r="R3" s="8"/>
      <c r="S3" s="8"/>
      <c r="T3" s="8"/>
      <c r="U3" s="8"/>
      <c r="V3" s="8"/>
      <c r="W3" s="9"/>
      <c r="X3" s="8"/>
      <c r="Y3" s="8"/>
      <c r="Z3" s="9"/>
      <c r="AA3" s="9"/>
      <c r="AB3" s="8"/>
      <c r="AC3" s="8"/>
      <c r="AD3" s="8"/>
      <c r="AE3" s="8"/>
      <c r="AF3" s="8"/>
      <c r="AG3" s="8"/>
      <c r="AH3" s="8"/>
      <c r="AI3" s="8"/>
      <c r="AJ3" s="8"/>
      <c r="AK3" s="8"/>
      <c r="AL3" s="243" t="s">
        <v>51</v>
      </c>
      <c r="AM3" s="192"/>
      <c r="AN3" s="192"/>
      <c r="AO3" s="192"/>
      <c r="AP3" s="192"/>
      <c r="AQ3" s="4"/>
      <c r="AR3" s="4"/>
      <c r="AS3" s="53"/>
      <c r="AT3" s="53"/>
      <c r="AU3" s="53"/>
      <c r="AV3" s="53"/>
      <c r="AW3" s="54"/>
      <c r="AX3" s="4"/>
      <c r="AY3" s="4"/>
    </row>
    <row r="4" spans="1:51" ht="15.75" x14ac:dyDescent="0.25">
      <c r="A4" s="4"/>
      <c r="B4" s="97"/>
      <c r="C4" s="98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01"/>
      <c r="Q4" s="101"/>
      <c r="R4" s="8"/>
      <c r="S4" s="8"/>
      <c r="T4" s="8"/>
      <c r="U4" s="8"/>
      <c r="V4" s="8"/>
      <c r="W4" s="9"/>
      <c r="X4" s="8"/>
      <c r="Y4" s="8"/>
      <c r="Z4" s="9"/>
      <c r="AA4" s="9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4"/>
      <c r="AQ4" s="4"/>
      <c r="AR4" s="4"/>
      <c r="AS4" s="53"/>
      <c r="AT4" s="53"/>
      <c r="AU4" s="53"/>
      <c r="AV4" s="53"/>
      <c r="AW4" s="54"/>
      <c r="AX4" s="4"/>
      <c r="AY4" s="4"/>
    </row>
    <row r="5" spans="1:51" ht="15.75" x14ac:dyDescent="0.25">
      <c r="A5" s="4"/>
      <c r="B5" s="97"/>
      <c r="C5" s="98"/>
      <c r="D5" s="125"/>
      <c r="E5" s="226" t="s">
        <v>46</v>
      </c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9"/>
      <c r="AA5" s="9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4"/>
      <c r="AQ5" s="4"/>
      <c r="AR5" s="4"/>
      <c r="AS5" s="53"/>
      <c r="AT5" s="53"/>
      <c r="AU5" s="53"/>
      <c r="AV5" s="53"/>
      <c r="AW5" s="54"/>
      <c r="AX5" s="4"/>
      <c r="AY5" s="4"/>
    </row>
    <row r="6" spans="1:51" ht="15.75" x14ac:dyDescent="0.25">
      <c r="A6" s="4"/>
      <c r="B6" s="97"/>
      <c r="C6" s="98"/>
      <c r="D6" s="125"/>
      <c r="E6" s="226" t="s">
        <v>47</v>
      </c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9"/>
      <c r="AA6" s="9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4"/>
      <c r="AQ6" s="4"/>
      <c r="AR6" s="4"/>
      <c r="AS6" s="53"/>
      <c r="AT6" s="53"/>
      <c r="AU6" s="53"/>
      <c r="AV6" s="53"/>
      <c r="AW6" s="54"/>
      <c r="AX6" s="4"/>
      <c r="AY6" s="4"/>
    </row>
    <row r="7" spans="1:51" ht="15.75" x14ac:dyDescent="0.25">
      <c r="A7" s="4"/>
      <c r="B7" s="97"/>
      <c r="C7" s="98"/>
      <c r="D7" s="125"/>
      <c r="E7" s="226" t="s">
        <v>96</v>
      </c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9"/>
      <c r="AA7" s="9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4"/>
      <c r="AQ7" s="4"/>
      <c r="AR7" s="4"/>
      <c r="AS7" s="53"/>
      <c r="AT7" s="53"/>
      <c r="AU7" s="53"/>
      <c r="AV7" s="53"/>
      <c r="AW7" s="54"/>
      <c r="AX7" s="4"/>
      <c r="AY7" s="4"/>
    </row>
    <row r="8" spans="1:51" ht="15.75" hidden="1" x14ac:dyDescent="0.25">
      <c r="A8" s="4"/>
      <c r="B8" s="97"/>
      <c r="C8" s="98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01"/>
      <c r="Q8" s="101"/>
      <c r="R8" s="8"/>
      <c r="S8" s="8"/>
      <c r="T8" s="8"/>
      <c r="U8" s="8"/>
      <c r="V8" s="8"/>
      <c r="W8" s="9"/>
      <c r="X8" s="8"/>
      <c r="Y8" s="8"/>
      <c r="Z8" s="9"/>
      <c r="AA8" s="9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4"/>
      <c r="AQ8" s="4"/>
      <c r="AR8" s="4"/>
      <c r="AS8" s="53"/>
      <c r="AT8" s="53"/>
      <c r="AU8" s="53"/>
      <c r="AV8" s="53"/>
      <c r="AW8" s="54"/>
      <c r="AX8" s="4"/>
      <c r="AY8" s="4"/>
    </row>
    <row r="9" spans="1:51" ht="15.75" x14ac:dyDescent="0.25">
      <c r="A9" s="4"/>
      <c r="B9" s="97"/>
      <c r="C9" s="98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7"/>
      <c r="Q9" s="7"/>
      <c r="R9" s="8"/>
      <c r="S9" s="8"/>
      <c r="T9" s="8"/>
      <c r="U9" s="8"/>
      <c r="V9" s="8"/>
      <c r="W9" s="9"/>
      <c r="X9" s="8"/>
      <c r="Y9" s="8"/>
      <c r="Z9" s="9"/>
      <c r="AA9" s="9"/>
      <c r="AB9" s="8"/>
      <c r="AC9" s="8"/>
      <c r="AD9" s="8"/>
      <c r="AE9" s="8"/>
      <c r="AF9" s="8"/>
      <c r="AG9" s="8"/>
      <c r="AH9" s="8"/>
      <c r="AI9" s="8"/>
      <c r="AJ9" s="8"/>
      <c r="AK9" s="8"/>
      <c r="AL9" s="218" t="s">
        <v>52</v>
      </c>
      <c r="AM9" s="219"/>
      <c r="AN9" s="219"/>
      <c r="AO9" s="219"/>
      <c r="AP9" s="219"/>
      <c r="AQ9" s="4"/>
      <c r="AR9" s="4"/>
      <c r="AS9" s="53"/>
      <c r="AT9" s="53" t="s">
        <v>33</v>
      </c>
      <c r="AU9" s="53"/>
      <c r="AV9" s="53"/>
      <c r="AW9" s="54"/>
      <c r="AX9" s="4"/>
      <c r="AY9" s="4"/>
    </row>
    <row r="10" spans="1:51" ht="15" customHeight="1" x14ac:dyDescent="0.25">
      <c r="A10" s="164" t="s">
        <v>0</v>
      </c>
      <c r="B10" s="164" t="s">
        <v>1</v>
      </c>
      <c r="C10" s="148" t="s">
        <v>2</v>
      </c>
      <c r="D10" s="183" t="s">
        <v>43</v>
      </c>
      <c r="E10" s="184"/>
      <c r="F10" s="185"/>
      <c r="G10" s="186" t="s">
        <v>3</v>
      </c>
      <c r="H10" s="187"/>
      <c r="I10" s="188"/>
      <c r="J10" s="186" t="s">
        <v>4</v>
      </c>
      <c r="K10" s="187"/>
      <c r="L10" s="188"/>
      <c r="M10" s="177" t="s">
        <v>5</v>
      </c>
      <c r="N10" s="178"/>
      <c r="O10" s="179"/>
      <c r="P10" s="177" t="s">
        <v>6</v>
      </c>
      <c r="Q10" s="178"/>
      <c r="R10" s="179"/>
      <c r="S10" s="175" t="s">
        <v>7</v>
      </c>
      <c r="T10" s="175"/>
      <c r="U10" s="175"/>
      <c r="V10" s="180" t="s">
        <v>8</v>
      </c>
      <c r="W10" s="180"/>
      <c r="X10" s="180"/>
      <c r="Y10" s="175" t="s">
        <v>9</v>
      </c>
      <c r="Z10" s="175"/>
      <c r="AA10" s="175"/>
      <c r="AB10" s="181" t="s">
        <v>10</v>
      </c>
      <c r="AC10" s="181"/>
      <c r="AD10" s="181"/>
      <c r="AE10" s="181" t="s">
        <v>11</v>
      </c>
      <c r="AF10" s="181"/>
      <c r="AG10" s="181"/>
      <c r="AH10" s="174" t="s">
        <v>12</v>
      </c>
      <c r="AI10" s="174"/>
      <c r="AJ10" s="174"/>
      <c r="AK10" s="175" t="s">
        <v>13</v>
      </c>
      <c r="AL10" s="175"/>
      <c r="AM10" s="175"/>
      <c r="AN10" s="176" t="s">
        <v>14</v>
      </c>
      <c r="AO10" s="176"/>
      <c r="AP10" s="176"/>
      <c r="AQ10" s="10"/>
      <c r="AR10" s="10"/>
      <c r="AS10" s="55"/>
      <c r="AT10" s="156" t="s">
        <v>94</v>
      </c>
      <c r="AU10" s="158" t="s">
        <v>34</v>
      </c>
      <c r="AV10" s="160" t="s">
        <v>35</v>
      </c>
      <c r="AW10" s="162" t="s">
        <v>36</v>
      </c>
      <c r="AX10" s="164" t="s">
        <v>1</v>
      </c>
      <c r="AY10" s="148" t="s">
        <v>2</v>
      </c>
    </row>
    <row r="11" spans="1:51" ht="25.5" x14ac:dyDescent="0.25">
      <c r="A11" s="165"/>
      <c r="B11" s="165"/>
      <c r="C11" s="149"/>
      <c r="D11" s="11" t="s">
        <v>15</v>
      </c>
      <c r="E11" s="11" t="s">
        <v>16</v>
      </c>
      <c r="F11" s="12" t="s">
        <v>17</v>
      </c>
      <c r="G11" s="13" t="s">
        <v>18</v>
      </c>
      <c r="H11" s="122" t="s">
        <v>19</v>
      </c>
      <c r="I11" s="14" t="s">
        <v>17</v>
      </c>
      <c r="J11" s="13" t="s">
        <v>18</v>
      </c>
      <c r="K11" s="122" t="s">
        <v>19</v>
      </c>
      <c r="L11" s="14" t="s">
        <v>17</v>
      </c>
      <c r="M11" s="13" t="s">
        <v>18</v>
      </c>
      <c r="N11" s="121" t="s">
        <v>19</v>
      </c>
      <c r="O11" s="14" t="s">
        <v>17</v>
      </c>
      <c r="P11" s="13" t="s">
        <v>18</v>
      </c>
      <c r="Q11" s="121" t="s">
        <v>19</v>
      </c>
      <c r="R11" s="121" t="s">
        <v>17</v>
      </c>
      <c r="S11" s="13" t="s">
        <v>18</v>
      </c>
      <c r="T11" s="121" t="s">
        <v>19</v>
      </c>
      <c r="U11" s="14" t="s">
        <v>17</v>
      </c>
      <c r="V11" s="13" t="s">
        <v>18</v>
      </c>
      <c r="W11" s="121" t="s">
        <v>19</v>
      </c>
      <c r="X11" s="14" t="s">
        <v>17</v>
      </c>
      <c r="Y11" s="13" t="s">
        <v>18</v>
      </c>
      <c r="Z11" s="121" t="s">
        <v>19</v>
      </c>
      <c r="AA11" s="122" t="s">
        <v>17</v>
      </c>
      <c r="AB11" s="13" t="s">
        <v>18</v>
      </c>
      <c r="AC11" s="121" t="s">
        <v>19</v>
      </c>
      <c r="AD11" s="14" t="s">
        <v>17</v>
      </c>
      <c r="AE11" s="13" t="s">
        <v>18</v>
      </c>
      <c r="AF11" s="121" t="s">
        <v>19</v>
      </c>
      <c r="AG11" s="14" t="s">
        <v>17</v>
      </c>
      <c r="AH11" s="13" t="s">
        <v>18</v>
      </c>
      <c r="AI11" s="121" t="s">
        <v>19</v>
      </c>
      <c r="AJ11" s="14" t="s">
        <v>17</v>
      </c>
      <c r="AK11" s="13" t="s">
        <v>18</v>
      </c>
      <c r="AL11" s="121" t="s">
        <v>19</v>
      </c>
      <c r="AM11" s="14" t="s">
        <v>17</v>
      </c>
      <c r="AN11" s="15" t="s">
        <v>18</v>
      </c>
      <c r="AO11" s="121" t="s">
        <v>19</v>
      </c>
      <c r="AP11" s="16" t="s">
        <v>17</v>
      </c>
      <c r="AQ11" s="10"/>
      <c r="AR11" s="10"/>
      <c r="AS11" s="56"/>
      <c r="AT11" s="157"/>
      <c r="AU11" s="159"/>
      <c r="AV11" s="161"/>
      <c r="AW11" s="163"/>
      <c r="AX11" s="165"/>
      <c r="AY11" s="149"/>
    </row>
    <row r="12" spans="1:51" ht="28.5" customHeight="1" x14ac:dyDescent="0.25">
      <c r="A12" s="171"/>
      <c r="B12" s="150" t="s">
        <v>98</v>
      </c>
      <c r="C12" s="18" t="s">
        <v>21</v>
      </c>
      <c r="D12" s="49">
        <f>G12+J12+M12+P12+S12+V12+Y12+AB12+AE12+AH12+AK12+AN12</f>
        <v>432014.22</v>
      </c>
      <c r="E12" s="49">
        <f>H12+K12+N12+Q12+T12+W12+Z12+AC12+AF12+AI12+AL12+AO12</f>
        <v>116758.82999999999</v>
      </c>
      <c r="F12" s="33">
        <f>E12/D12*100</f>
        <v>27.026617318291052</v>
      </c>
      <c r="G12" s="34">
        <f>G17+G22+G27</f>
        <v>13280.8</v>
      </c>
      <c r="H12" s="35">
        <f t="shared" ref="H12:AP15" si="0">H17+H22+H27</f>
        <v>19047.900000000001</v>
      </c>
      <c r="I12" s="34">
        <f>H12/G12*100</f>
        <v>143.42434190711404</v>
      </c>
      <c r="J12" s="34">
        <f t="shared" si="0"/>
        <v>32912.5</v>
      </c>
      <c r="K12" s="35">
        <f t="shared" si="0"/>
        <v>21862.16</v>
      </c>
      <c r="L12" s="34">
        <f>K12/J12*100</f>
        <v>66.425096847702235</v>
      </c>
      <c r="M12" s="34">
        <f t="shared" si="0"/>
        <v>36868.1</v>
      </c>
      <c r="N12" s="36">
        <f t="shared" si="0"/>
        <v>31351.95</v>
      </c>
      <c r="O12" s="34">
        <f t="shared" si="0"/>
        <v>195.46194409354513</v>
      </c>
      <c r="P12" s="34">
        <f t="shared" si="0"/>
        <v>36206.519999999997</v>
      </c>
      <c r="Q12" s="36">
        <f t="shared" si="0"/>
        <v>44496.82</v>
      </c>
      <c r="R12" s="36">
        <f t="shared" si="0"/>
        <v>185.60477317288604</v>
      </c>
      <c r="S12" s="34">
        <f t="shared" si="0"/>
        <v>47381.159999999996</v>
      </c>
      <c r="T12" s="36">
        <f t="shared" si="0"/>
        <v>0</v>
      </c>
      <c r="U12" s="34">
        <f t="shared" si="0"/>
        <v>0</v>
      </c>
      <c r="V12" s="34">
        <f t="shared" si="0"/>
        <v>49692.78</v>
      </c>
      <c r="W12" s="46">
        <f>W13+W14+W15+W16</f>
        <v>0</v>
      </c>
      <c r="X12" s="34">
        <f t="shared" si="0"/>
        <v>0</v>
      </c>
      <c r="Y12" s="34">
        <f t="shared" si="0"/>
        <v>41733.19000000001</v>
      </c>
      <c r="Z12" s="34">
        <f t="shared" si="0"/>
        <v>0</v>
      </c>
      <c r="AA12" s="34">
        <f t="shared" si="0"/>
        <v>0</v>
      </c>
      <c r="AB12" s="34">
        <f t="shared" si="0"/>
        <v>40807.890000000007</v>
      </c>
      <c r="AC12" s="34">
        <f t="shared" si="0"/>
        <v>0</v>
      </c>
      <c r="AD12" s="34">
        <f t="shared" si="0"/>
        <v>0</v>
      </c>
      <c r="AE12" s="34">
        <f t="shared" si="0"/>
        <v>35981.29</v>
      </c>
      <c r="AF12" s="34">
        <f t="shared" si="0"/>
        <v>0</v>
      </c>
      <c r="AG12" s="34">
        <f t="shared" si="0"/>
        <v>0</v>
      </c>
      <c r="AH12" s="34">
        <f t="shared" si="0"/>
        <v>32913.589999999997</v>
      </c>
      <c r="AI12" s="34">
        <f t="shared" si="0"/>
        <v>0</v>
      </c>
      <c r="AJ12" s="34">
        <f t="shared" si="0"/>
        <v>0</v>
      </c>
      <c r="AK12" s="34">
        <f t="shared" si="0"/>
        <v>33887.879999999997</v>
      </c>
      <c r="AL12" s="34">
        <f t="shared" si="0"/>
        <v>0</v>
      </c>
      <c r="AM12" s="34">
        <f t="shared" si="0"/>
        <v>0</v>
      </c>
      <c r="AN12" s="34">
        <f t="shared" si="0"/>
        <v>30348.52</v>
      </c>
      <c r="AO12" s="34">
        <f t="shared" si="0"/>
        <v>0</v>
      </c>
      <c r="AP12" s="34">
        <f t="shared" si="0"/>
        <v>0</v>
      </c>
      <c r="AQ12" s="19"/>
      <c r="AR12" s="20"/>
      <c r="AS12" s="57" t="s">
        <v>37</v>
      </c>
      <c r="AT12" s="79">
        <f>AT13+AT14+AT15+AT16</f>
        <v>432014.22000000003</v>
      </c>
      <c r="AU12" s="80">
        <f>AT12-D12</f>
        <v>0</v>
      </c>
      <c r="AV12" s="81">
        <f>AV13+AV14+AV15+AV16</f>
        <v>116758.82999999999</v>
      </c>
      <c r="AW12" s="61">
        <f>AV12-E12</f>
        <v>0</v>
      </c>
      <c r="AX12" s="150" t="s">
        <v>20</v>
      </c>
      <c r="AY12" s="18" t="s">
        <v>21</v>
      </c>
    </row>
    <row r="13" spans="1:51" ht="39" customHeight="1" x14ac:dyDescent="0.25">
      <c r="A13" s="172"/>
      <c r="B13" s="151"/>
      <c r="C13" s="21" t="s">
        <v>22</v>
      </c>
      <c r="D13" s="51">
        <f>G13+J13+M13+P13+S13+V13+Y13+AB13+AE13+AH13+AK13+AN13</f>
        <v>417297.10000000003</v>
      </c>
      <c r="E13" s="51">
        <f t="shared" ref="E13:E31" si="1">H13+K13+N13+Q13+T13+W13+Z13+AC13+AF13+AI13+AL13+AO13</f>
        <v>116758.82999999999</v>
      </c>
      <c r="F13" s="33">
        <f t="shared" ref="F13:F29" si="2">E13/D13*100</f>
        <v>27.979784666608033</v>
      </c>
      <c r="G13" s="34">
        <f>G18+G23+G28</f>
        <v>13280.8</v>
      </c>
      <c r="H13" s="35">
        <f t="shared" si="0"/>
        <v>19047.900000000001</v>
      </c>
      <c r="I13" s="34">
        <f>H13/G13*100</f>
        <v>143.42434190711404</v>
      </c>
      <c r="J13" s="34">
        <f t="shared" si="0"/>
        <v>32912.5</v>
      </c>
      <c r="K13" s="35">
        <f t="shared" si="0"/>
        <v>21862.16</v>
      </c>
      <c r="L13" s="34">
        <f t="shared" si="0"/>
        <v>2.2336227308603003</v>
      </c>
      <c r="M13" s="34">
        <f t="shared" si="0"/>
        <v>36815.800000000003</v>
      </c>
      <c r="N13" s="36">
        <f>N18+N23+N28</f>
        <v>31351.95</v>
      </c>
      <c r="O13" s="34">
        <v>0</v>
      </c>
      <c r="P13" s="34">
        <f t="shared" si="0"/>
        <v>34719.099999999991</v>
      </c>
      <c r="Q13" s="36">
        <f t="shared" si="0"/>
        <v>44496.82</v>
      </c>
      <c r="R13" s="36">
        <f t="shared" si="0"/>
        <v>281.39948044811138</v>
      </c>
      <c r="S13" s="34">
        <f t="shared" si="0"/>
        <v>44288.929999999993</v>
      </c>
      <c r="T13" s="36">
        <f t="shared" si="0"/>
        <v>0</v>
      </c>
      <c r="U13" s="34">
        <f t="shared" si="0"/>
        <v>0</v>
      </c>
      <c r="V13" s="34">
        <f t="shared" si="0"/>
        <v>48249.35</v>
      </c>
      <c r="W13" s="46">
        <f t="shared" si="0"/>
        <v>0</v>
      </c>
      <c r="X13" s="34">
        <f t="shared" si="0"/>
        <v>0</v>
      </c>
      <c r="Y13" s="34">
        <f t="shared" si="0"/>
        <v>40338.160000000003</v>
      </c>
      <c r="Z13" s="34">
        <f t="shared" si="0"/>
        <v>0</v>
      </c>
      <c r="AA13" s="34">
        <f t="shared" si="0"/>
        <v>0</v>
      </c>
      <c r="AB13" s="34">
        <f t="shared" si="0"/>
        <v>39353.360000000001</v>
      </c>
      <c r="AC13" s="34">
        <f t="shared" si="0"/>
        <v>0</v>
      </c>
      <c r="AD13" s="34">
        <f t="shared" si="0"/>
        <v>0</v>
      </c>
      <c r="AE13" s="34">
        <f t="shared" si="0"/>
        <v>34451.96</v>
      </c>
      <c r="AF13" s="34">
        <f t="shared" si="0"/>
        <v>0</v>
      </c>
      <c r="AG13" s="34">
        <f t="shared" si="0"/>
        <v>0</v>
      </c>
      <c r="AH13" s="34">
        <f t="shared" si="0"/>
        <v>31471.759999999998</v>
      </c>
      <c r="AI13" s="34">
        <f t="shared" si="0"/>
        <v>0</v>
      </c>
      <c r="AJ13" s="34">
        <f t="shared" si="0"/>
        <v>0</v>
      </c>
      <c r="AK13" s="34">
        <f t="shared" si="0"/>
        <v>32461.86</v>
      </c>
      <c r="AL13" s="34">
        <f t="shared" si="0"/>
        <v>0</v>
      </c>
      <c r="AM13" s="34">
        <f t="shared" si="0"/>
        <v>0</v>
      </c>
      <c r="AN13" s="34">
        <f t="shared" si="0"/>
        <v>28953.52</v>
      </c>
      <c r="AO13" s="34">
        <f t="shared" si="0"/>
        <v>0</v>
      </c>
      <c r="AP13" s="89">
        <v>0</v>
      </c>
      <c r="AQ13" s="22"/>
      <c r="AR13" s="10"/>
      <c r="AS13" s="62" t="s">
        <v>38</v>
      </c>
      <c r="AT13" s="79">
        <f>AT18+AT23+AT28</f>
        <v>417297.1</v>
      </c>
      <c r="AU13" s="80">
        <f t="shared" ref="AU13:AU31" si="3">AT13-D13</f>
        <v>0</v>
      </c>
      <c r="AV13" s="81">
        <f>AV18+AV23+AV28</f>
        <v>116758.82999999999</v>
      </c>
      <c r="AW13" s="61">
        <f t="shared" ref="AW13:AW31" si="4">AV13-E13</f>
        <v>0</v>
      </c>
      <c r="AX13" s="151"/>
      <c r="AY13" s="21" t="s">
        <v>22</v>
      </c>
    </row>
    <row r="14" spans="1:51" ht="26.25" customHeight="1" x14ac:dyDescent="0.25">
      <c r="A14" s="172"/>
      <c r="B14" s="151"/>
      <c r="C14" s="21" t="s">
        <v>23</v>
      </c>
      <c r="D14" s="51">
        <f t="shared" ref="D14:D26" si="5">G14+J14+M14+P14+S14+V14+Y14+AB14+AE14+AH14+AK14+AN14</f>
        <v>9266.84</v>
      </c>
      <c r="E14" s="51">
        <f>H14+K14+N14+Q14+T14+W14+Z14+AC14+AF14+AI14+AL14+AO14</f>
        <v>0</v>
      </c>
      <c r="F14" s="33">
        <f t="shared" si="2"/>
        <v>0</v>
      </c>
      <c r="G14" s="34">
        <f>G19+G24+G29</f>
        <v>0</v>
      </c>
      <c r="H14" s="35">
        <f>H19+H29</f>
        <v>0</v>
      </c>
      <c r="I14" s="35" t="e">
        <f>H14/G14*100</f>
        <v>#DIV/0!</v>
      </c>
      <c r="J14" s="34">
        <f>J19+J24+J29</f>
        <v>0</v>
      </c>
      <c r="K14" s="35">
        <f>K19+K24+K29</f>
        <v>0</v>
      </c>
      <c r="L14" s="35" t="e">
        <f t="shared" ref="L14:L29" si="6">K14/J14*100</f>
        <v>#DIV/0!</v>
      </c>
      <c r="M14" s="34">
        <f>M19+M24+M29</f>
        <v>52.3</v>
      </c>
      <c r="N14" s="36">
        <f>N19+N24+N29</f>
        <v>0</v>
      </c>
      <c r="O14" s="35">
        <f t="shared" ref="O14:O29" si="7">N14/M14*100</f>
        <v>0</v>
      </c>
      <c r="P14" s="34">
        <f t="shared" si="0"/>
        <v>881.84</v>
      </c>
      <c r="Q14" s="36">
        <f>Q19+Q24+Q29</f>
        <v>0</v>
      </c>
      <c r="R14" s="36">
        <f t="shared" ref="R14:R29" si="8">Q14/P14*100</f>
        <v>0</v>
      </c>
      <c r="S14" s="37">
        <f t="shared" si="0"/>
        <v>2486.6400000000003</v>
      </c>
      <c r="T14" s="36">
        <f>T19+T24+T29</f>
        <v>0</v>
      </c>
      <c r="U14" s="35">
        <f t="shared" ref="U14:U29" si="9">T14/S14*100</f>
        <v>0</v>
      </c>
      <c r="V14" s="37">
        <f t="shared" si="0"/>
        <v>837.84</v>
      </c>
      <c r="W14" s="47">
        <f>W19+W24+W29</f>
        <v>0</v>
      </c>
      <c r="X14" s="35">
        <f t="shared" ref="X14:X29" si="10">W14/V14*100</f>
        <v>0</v>
      </c>
      <c r="Y14" s="37">
        <f t="shared" si="0"/>
        <v>789.44</v>
      </c>
      <c r="Z14" s="36">
        <f>Z19+Z24+Z29</f>
        <v>0</v>
      </c>
      <c r="AA14" s="35">
        <f t="shared" ref="AA14:AA29" si="11">Z14/Y14*100</f>
        <v>0</v>
      </c>
      <c r="AB14" s="37">
        <f t="shared" si="0"/>
        <v>848.94</v>
      </c>
      <c r="AC14" s="36">
        <f>AC19+AC24+AC29</f>
        <v>0</v>
      </c>
      <c r="AD14" s="35">
        <f t="shared" ref="AD14:AD29" si="12">AC14/AB14*100</f>
        <v>0</v>
      </c>
      <c r="AE14" s="37">
        <f t="shared" si="0"/>
        <v>923.74</v>
      </c>
      <c r="AF14" s="36">
        <f>AF19+AF24+AF29</f>
        <v>0</v>
      </c>
      <c r="AG14" s="35">
        <f t="shared" ref="AG14:AG29" si="13">AF14/AE14*100</f>
        <v>0</v>
      </c>
      <c r="AH14" s="37">
        <f t="shared" si="0"/>
        <v>836.24</v>
      </c>
      <c r="AI14" s="36">
        <f>AI19+AI24+AI29</f>
        <v>0</v>
      </c>
      <c r="AJ14" s="35">
        <f t="shared" ref="AJ14:AJ27" si="14">AI14/AH14*100</f>
        <v>0</v>
      </c>
      <c r="AK14" s="37">
        <f t="shared" si="0"/>
        <v>820.43</v>
      </c>
      <c r="AL14" s="36">
        <v>0</v>
      </c>
      <c r="AM14" s="35">
        <f t="shared" ref="AM14:AM29" si="15">AL14/AK14*100</f>
        <v>0</v>
      </c>
      <c r="AN14" s="90">
        <f t="shared" si="0"/>
        <v>789.43</v>
      </c>
      <c r="AO14" s="36">
        <v>0</v>
      </c>
      <c r="AP14" s="91">
        <v>0</v>
      </c>
      <c r="AQ14" s="23"/>
      <c r="AR14" s="10"/>
      <c r="AS14" s="62" t="s">
        <v>39</v>
      </c>
      <c r="AT14" s="79">
        <f>AT19+AT24+AT29</f>
        <v>9266.84</v>
      </c>
      <c r="AU14" s="80">
        <f t="shared" si="3"/>
        <v>0</v>
      </c>
      <c r="AV14" s="81">
        <f>AV19+AV24+AV29</f>
        <v>0</v>
      </c>
      <c r="AW14" s="61">
        <f>AV14-E14</f>
        <v>0</v>
      </c>
      <c r="AX14" s="151"/>
      <c r="AY14" s="21" t="s">
        <v>23</v>
      </c>
    </row>
    <row r="15" spans="1:51" ht="26.25" customHeight="1" x14ac:dyDescent="0.25">
      <c r="A15" s="172"/>
      <c r="B15" s="151"/>
      <c r="C15" s="21" t="s">
        <v>24</v>
      </c>
      <c r="D15" s="51">
        <f>G15+J15+M15+P15+S15+V15+Y15+AB15+AE15+AH15+AK15+AN15</f>
        <v>5450.2800000000007</v>
      </c>
      <c r="E15" s="51">
        <f t="shared" si="1"/>
        <v>0</v>
      </c>
      <c r="F15" s="33">
        <v>0</v>
      </c>
      <c r="G15" s="34">
        <f t="shared" ref="G15" si="16">G20+G25+G30</f>
        <v>0</v>
      </c>
      <c r="H15" s="35">
        <f>H20+H25+H30</f>
        <v>0</v>
      </c>
      <c r="I15" s="35">
        <v>0</v>
      </c>
      <c r="J15" s="34">
        <f t="shared" ref="J15" si="17">J20+J25+J30</f>
        <v>0</v>
      </c>
      <c r="K15" s="35">
        <v>0</v>
      </c>
      <c r="L15" s="35">
        <v>0</v>
      </c>
      <c r="M15" s="34">
        <f>M20+M25+M30</f>
        <v>0</v>
      </c>
      <c r="N15" s="36">
        <f>N20+N25+N30</f>
        <v>0</v>
      </c>
      <c r="O15" s="35">
        <v>0</v>
      </c>
      <c r="P15" s="34">
        <f t="shared" si="0"/>
        <v>605.58000000000004</v>
      </c>
      <c r="Q15" s="36">
        <f>Q20+Q24+Q30</f>
        <v>0</v>
      </c>
      <c r="R15" s="36">
        <v>0</v>
      </c>
      <c r="S15" s="34">
        <f t="shared" si="0"/>
        <v>605.59</v>
      </c>
      <c r="T15" s="36">
        <v>0</v>
      </c>
      <c r="U15" s="35">
        <v>0</v>
      </c>
      <c r="V15" s="34">
        <f t="shared" si="0"/>
        <v>605.59</v>
      </c>
      <c r="W15" s="47">
        <v>0</v>
      </c>
      <c r="X15" s="35">
        <v>0</v>
      </c>
      <c r="Y15" s="34">
        <f>Y20</f>
        <v>605.59</v>
      </c>
      <c r="Z15" s="36">
        <v>0</v>
      </c>
      <c r="AA15" s="35">
        <v>0</v>
      </c>
      <c r="AB15" s="34">
        <f>AB20</f>
        <v>605.59</v>
      </c>
      <c r="AC15" s="36">
        <v>0</v>
      </c>
      <c r="AD15" s="35">
        <v>0</v>
      </c>
      <c r="AE15" s="34">
        <f t="shared" si="0"/>
        <v>605.59</v>
      </c>
      <c r="AF15" s="36">
        <v>0</v>
      </c>
      <c r="AG15" s="35">
        <v>0</v>
      </c>
      <c r="AH15" s="34">
        <f t="shared" si="0"/>
        <v>605.59</v>
      </c>
      <c r="AI15" s="36">
        <v>0</v>
      </c>
      <c r="AJ15" s="35">
        <v>0</v>
      </c>
      <c r="AK15" s="34">
        <f t="shared" si="0"/>
        <v>605.59</v>
      </c>
      <c r="AL15" s="36">
        <v>0</v>
      </c>
      <c r="AM15" s="35">
        <v>0</v>
      </c>
      <c r="AN15" s="92">
        <f t="shared" si="0"/>
        <v>605.57000000000005</v>
      </c>
      <c r="AO15" s="36">
        <v>0</v>
      </c>
      <c r="AP15" s="91">
        <v>0</v>
      </c>
      <c r="AQ15" s="23"/>
      <c r="AR15" s="10"/>
      <c r="AS15" s="62" t="s">
        <v>40</v>
      </c>
      <c r="AT15" s="79">
        <f>AT20+AT25+AT30</f>
        <v>5450.28</v>
      </c>
      <c r="AU15" s="80">
        <f t="shared" si="3"/>
        <v>0</v>
      </c>
      <c r="AV15" s="81">
        <f>AV20+AV25+AV30</f>
        <v>0</v>
      </c>
      <c r="AW15" s="61">
        <f t="shared" si="4"/>
        <v>0</v>
      </c>
      <c r="AX15" s="151"/>
      <c r="AY15" s="21" t="s">
        <v>24</v>
      </c>
    </row>
    <row r="16" spans="1:51" ht="26.25" customHeight="1" x14ac:dyDescent="0.25">
      <c r="A16" s="173"/>
      <c r="B16" s="152"/>
      <c r="C16" s="18" t="s">
        <v>25</v>
      </c>
      <c r="D16" s="51">
        <f t="shared" si="5"/>
        <v>0</v>
      </c>
      <c r="E16" s="51">
        <f t="shared" si="1"/>
        <v>0</v>
      </c>
      <c r="F16" s="33">
        <v>0</v>
      </c>
      <c r="G16" s="38">
        <v>0</v>
      </c>
      <c r="H16" s="33">
        <f>H21+H26+H31</f>
        <v>0</v>
      </c>
      <c r="I16" s="35">
        <v>0</v>
      </c>
      <c r="J16" s="38">
        <v>0</v>
      </c>
      <c r="K16" s="35">
        <v>0</v>
      </c>
      <c r="L16" s="35">
        <v>0</v>
      </c>
      <c r="M16" s="38">
        <v>0</v>
      </c>
      <c r="N16" s="39">
        <f>N21+N26+N31</f>
        <v>0</v>
      </c>
      <c r="O16" s="35">
        <v>0</v>
      </c>
      <c r="P16" s="38">
        <v>0</v>
      </c>
      <c r="Q16" s="39">
        <v>0</v>
      </c>
      <c r="R16" s="36">
        <v>0</v>
      </c>
      <c r="S16" s="38">
        <v>0</v>
      </c>
      <c r="T16" s="39">
        <v>0</v>
      </c>
      <c r="U16" s="35">
        <v>0</v>
      </c>
      <c r="V16" s="38">
        <v>0</v>
      </c>
      <c r="W16" s="48">
        <v>0</v>
      </c>
      <c r="X16" s="35">
        <v>0</v>
      </c>
      <c r="Y16" s="38">
        <v>0</v>
      </c>
      <c r="Z16" s="39">
        <v>0</v>
      </c>
      <c r="AA16" s="35">
        <v>0</v>
      </c>
      <c r="AB16" s="38">
        <v>0</v>
      </c>
      <c r="AC16" s="39">
        <v>0</v>
      </c>
      <c r="AD16" s="35">
        <v>0</v>
      </c>
      <c r="AE16" s="38">
        <v>0</v>
      </c>
      <c r="AF16" s="33">
        <v>0</v>
      </c>
      <c r="AG16" s="35">
        <v>0</v>
      </c>
      <c r="AH16" s="38">
        <v>0</v>
      </c>
      <c r="AI16" s="39">
        <v>0</v>
      </c>
      <c r="AJ16" s="35">
        <v>0</v>
      </c>
      <c r="AK16" s="38">
        <v>0</v>
      </c>
      <c r="AL16" s="39">
        <v>0</v>
      </c>
      <c r="AM16" s="35">
        <v>0</v>
      </c>
      <c r="AN16" s="93">
        <v>0</v>
      </c>
      <c r="AO16" s="39">
        <v>0</v>
      </c>
      <c r="AP16" s="39">
        <v>0</v>
      </c>
      <c r="AQ16" s="23"/>
      <c r="AR16" s="10"/>
      <c r="AS16" s="57" t="s">
        <v>41</v>
      </c>
      <c r="AT16" s="79">
        <f>AT21+AT26+AT31</f>
        <v>0</v>
      </c>
      <c r="AU16" s="80">
        <f t="shared" si="3"/>
        <v>0</v>
      </c>
      <c r="AV16" s="81">
        <f>AV21+AV26+AV31</f>
        <v>0</v>
      </c>
      <c r="AW16" s="61">
        <f t="shared" si="4"/>
        <v>0</v>
      </c>
      <c r="AX16" s="152"/>
      <c r="AY16" s="18" t="s">
        <v>25</v>
      </c>
    </row>
    <row r="17" spans="1:51" ht="39" customHeight="1" x14ac:dyDescent="0.25">
      <c r="A17" s="167" t="s">
        <v>26</v>
      </c>
      <c r="B17" s="153" t="s">
        <v>27</v>
      </c>
      <c r="C17" s="18" t="s">
        <v>21</v>
      </c>
      <c r="D17" s="49">
        <f>G17+J17+M17+P17+S17+V17+Y17+AB17+AE17+AH17+AK17+AN17</f>
        <v>21253.420000000006</v>
      </c>
      <c r="E17" s="49">
        <f t="shared" si="1"/>
        <v>69.649999999999991</v>
      </c>
      <c r="F17" s="40">
        <f t="shared" ref="F17:O17" si="18">F18+F19+F20</f>
        <v>1.0655875648302555</v>
      </c>
      <c r="G17" s="40">
        <f t="shared" si="18"/>
        <v>0</v>
      </c>
      <c r="H17" s="40">
        <f t="shared" si="18"/>
        <v>0</v>
      </c>
      <c r="I17" s="40" t="e">
        <f t="shared" si="18"/>
        <v>#DIV/0!</v>
      </c>
      <c r="J17" s="40">
        <f t="shared" si="18"/>
        <v>126.7</v>
      </c>
      <c r="K17" s="40">
        <f t="shared" si="18"/>
        <v>2.83</v>
      </c>
      <c r="L17" s="40" t="e">
        <f t="shared" si="18"/>
        <v>#DIV/0!</v>
      </c>
      <c r="M17" s="40">
        <f t="shared" si="18"/>
        <v>175.2</v>
      </c>
      <c r="N17" s="40">
        <f t="shared" si="18"/>
        <v>48.19</v>
      </c>
      <c r="O17" s="40">
        <f t="shared" si="18"/>
        <v>39.21074043938161</v>
      </c>
      <c r="P17" s="40">
        <f>P18+P19+P20+P21</f>
        <v>1506.6200000000001</v>
      </c>
      <c r="Q17" s="40">
        <f>Q18+Q19+Q20+Q21</f>
        <v>18.63</v>
      </c>
      <c r="R17" s="41">
        <f t="shared" si="8"/>
        <v>1.236542724774661</v>
      </c>
      <c r="S17" s="40">
        <f>S18+S20+S19</f>
        <v>4912.380000000001</v>
      </c>
      <c r="T17" s="40">
        <f>T18+T19+T20</f>
        <v>0</v>
      </c>
      <c r="U17" s="41">
        <f t="shared" si="9"/>
        <v>0</v>
      </c>
      <c r="V17" s="40">
        <f>V18+V19+V20</f>
        <v>3340.48</v>
      </c>
      <c r="W17" s="49">
        <f>W18+W19+W21+W20</f>
        <v>0</v>
      </c>
      <c r="X17" s="41">
        <f t="shared" si="10"/>
        <v>0</v>
      </c>
      <c r="Y17" s="40">
        <f>Y18+Y19+Y20</f>
        <v>3223.28</v>
      </c>
      <c r="Z17" s="40">
        <f>Z18+Z19</f>
        <v>0</v>
      </c>
      <c r="AA17" s="41">
        <f t="shared" si="11"/>
        <v>0</v>
      </c>
      <c r="AB17" s="40">
        <f>AB18+AB19+AB20</f>
        <v>1995.2800000000002</v>
      </c>
      <c r="AC17" s="40">
        <f>AC18+AC19</f>
        <v>0</v>
      </c>
      <c r="AD17" s="41">
        <f t="shared" si="12"/>
        <v>0</v>
      </c>
      <c r="AE17" s="40">
        <f>AE18+AE19+AE20</f>
        <v>1678.08</v>
      </c>
      <c r="AF17" s="40">
        <f>AF18+AF19</f>
        <v>0</v>
      </c>
      <c r="AG17" s="41">
        <f t="shared" si="13"/>
        <v>0</v>
      </c>
      <c r="AH17" s="40">
        <f>AH18+AH19+AH20</f>
        <v>1456.38</v>
      </c>
      <c r="AI17" s="40">
        <f>AI18+AI19</f>
        <v>0</v>
      </c>
      <c r="AJ17" s="41">
        <f t="shared" si="14"/>
        <v>0</v>
      </c>
      <c r="AK17" s="40">
        <f>AK18+AK19+AK20</f>
        <v>1437.77</v>
      </c>
      <c r="AL17" s="40">
        <f>AL18+AL19</f>
        <v>0</v>
      </c>
      <c r="AM17" s="41">
        <f t="shared" si="15"/>
        <v>0</v>
      </c>
      <c r="AN17" s="40">
        <f>AN18+AN19+AN20</f>
        <v>1401.25</v>
      </c>
      <c r="AO17" s="40">
        <v>0</v>
      </c>
      <c r="AP17" s="40">
        <v>0</v>
      </c>
      <c r="AQ17" s="19"/>
      <c r="AR17" s="82"/>
      <c r="AS17" s="83" t="s">
        <v>37</v>
      </c>
      <c r="AT17" s="84">
        <f>AT18+AT19+AT20</f>
        <v>21253.42</v>
      </c>
      <c r="AU17" s="85">
        <f t="shared" si="3"/>
        <v>0</v>
      </c>
      <c r="AV17" s="86">
        <f>AV18+AV19+AV20+AV21</f>
        <v>69.650000000000006</v>
      </c>
      <c r="AW17" s="87">
        <f t="shared" si="4"/>
        <v>0</v>
      </c>
      <c r="AX17" s="153" t="s">
        <v>27</v>
      </c>
      <c r="AY17" s="18" t="s">
        <v>21</v>
      </c>
    </row>
    <row r="18" spans="1:51" ht="26.25" customHeight="1" x14ac:dyDescent="0.25">
      <c r="A18" s="168"/>
      <c r="B18" s="154"/>
      <c r="C18" s="21" t="s">
        <v>22</v>
      </c>
      <c r="D18" s="51">
        <f>G18+J18+M18+P18+S18+V18+Y18+AB18+AE18+AH18+AK18+AN18</f>
        <v>6536.3</v>
      </c>
      <c r="E18" s="51">
        <f t="shared" si="1"/>
        <v>69.649999999999991</v>
      </c>
      <c r="F18" s="33">
        <f t="shared" si="2"/>
        <v>1.0655875648302555</v>
      </c>
      <c r="G18" s="38">
        <v>0</v>
      </c>
      <c r="H18" s="33">
        <v>0</v>
      </c>
      <c r="I18" s="35" t="e">
        <f t="shared" ref="I18:I29" si="19">H18/G18*100</f>
        <v>#DIV/0!</v>
      </c>
      <c r="J18" s="38">
        <f>123.7+3</f>
        <v>126.7</v>
      </c>
      <c r="K18" s="35">
        <v>2.83</v>
      </c>
      <c r="L18" s="35">
        <f t="shared" si="6"/>
        <v>2.2336227308603003</v>
      </c>
      <c r="M18" s="38">
        <v>122.9</v>
      </c>
      <c r="N18" s="33">
        <v>48.19</v>
      </c>
      <c r="O18" s="35">
        <f t="shared" si="7"/>
        <v>39.21074043938161</v>
      </c>
      <c r="P18" s="38">
        <v>19.2</v>
      </c>
      <c r="Q18" s="119">
        <v>18.63</v>
      </c>
      <c r="R18" s="36">
        <f t="shared" si="8"/>
        <v>97.03125</v>
      </c>
      <c r="S18" s="38">
        <f>1813.9+6.25</f>
        <v>1820.15</v>
      </c>
      <c r="T18" s="39">
        <v>0</v>
      </c>
      <c r="U18" s="35">
        <f t="shared" si="9"/>
        <v>0</v>
      </c>
      <c r="V18" s="38">
        <f>1890.8+6.25</f>
        <v>1897.05</v>
      </c>
      <c r="W18" s="48">
        <v>0</v>
      </c>
      <c r="X18" s="35">
        <f t="shared" si="10"/>
        <v>0</v>
      </c>
      <c r="Y18" s="38">
        <f>1822+6.25</f>
        <v>1828.25</v>
      </c>
      <c r="Z18" s="39">
        <v>0</v>
      </c>
      <c r="AA18" s="35">
        <f>Z18/Y18*100</f>
        <v>0</v>
      </c>
      <c r="AB18" s="38">
        <f>534.5+6.25</f>
        <v>540.75</v>
      </c>
      <c r="AC18" s="39">
        <v>0</v>
      </c>
      <c r="AD18" s="35">
        <f t="shared" si="12"/>
        <v>0</v>
      </c>
      <c r="AE18" s="38">
        <f>142.5+6.25</f>
        <v>148.75</v>
      </c>
      <c r="AF18" s="39">
        <v>0</v>
      </c>
      <c r="AG18" s="35">
        <v>0</v>
      </c>
      <c r="AH18" s="38">
        <f>8.3+6.25</f>
        <v>14.55</v>
      </c>
      <c r="AI18" s="39">
        <v>0</v>
      </c>
      <c r="AJ18" s="35">
        <v>0</v>
      </c>
      <c r="AK18" s="38">
        <f>5.5+6.25</f>
        <v>11.75</v>
      </c>
      <c r="AL18" s="39">
        <v>0</v>
      </c>
      <c r="AM18" s="35">
        <f t="shared" si="15"/>
        <v>0</v>
      </c>
      <c r="AN18" s="93">
        <v>6.25</v>
      </c>
      <c r="AO18" s="39">
        <v>0</v>
      </c>
      <c r="AP18" s="89">
        <v>0</v>
      </c>
      <c r="AQ18" s="22"/>
      <c r="AR18" s="10"/>
      <c r="AS18" s="62" t="s">
        <v>38</v>
      </c>
      <c r="AT18" s="66">
        <v>6536.3</v>
      </c>
      <c r="AU18" s="59">
        <f>AT18-D18</f>
        <v>0</v>
      </c>
      <c r="AV18" s="68">
        <v>69.650000000000006</v>
      </c>
      <c r="AW18" s="61">
        <f t="shared" si="4"/>
        <v>0</v>
      </c>
      <c r="AX18" s="154"/>
      <c r="AY18" s="21" t="s">
        <v>22</v>
      </c>
    </row>
    <row r="19" spans="1:51" ht="26.25" customHeight="1" x14ac:dyDescent="0.25">
      <c r="A19" s="168"/>
      <c r="B19" s="154"/>
      <c r="C19" s="18" t="s">
        <v>23</v>
      </c>
      <c r="D19" s="51">
        <f>G19+J19+M19+P19+S19+V19+Y19+AB19+AE19+AH19+AK19+AN19</f>
        <v>9266.84</v>
      </c>
      <c r="E19" s="51">
        <f t="shared" si="1"/>
        <v>0</v>
      </c>
      <c r="F19" s="33">
        <f t="shared" si="2"/>
        <v>0</v>
      </c>
      <c r="G19" s="38">
        <v>0</v>
      </c>
      <c r="H19" s="33">
        <v>0</v>
      </c>
      <c r="I19" s="35" t="e">
        <f t="shared" si="19"/>
        <v>#DIV/0!</v>
      </c>
      <c r="J19" s="38">
        <v>0</v>
      </c>
      <c r="K19" s="35">
        <v>0</v>
      </c>
      <c r="L19" s="35" t="e">
        <f>K19/J19*100</f>
        <v>#DIV/0!</v>
      </c>
      <c r="M19" s="38">
        <v>52.3</v>
      </c>
      <c r="N19" s="39">
        <v>0</v>
      </c>
      <c r="O19" s="35">
        <f t="shared" si="7"/>
        <v>0</v>
      </c>
      <c r="P19" s="38">
        <f>117.4+764.44</f>
        <v>881.84</v>
      </c>
      <c r="Q19" s="39">
        <v>0</v>
      </c>
      <c r="R19" s="36">
        <f t="shared" si="8"/>
        <v>0</v>
      </c>
      <c r="S19" s="38">
        <f>1697.2+764.44+25</f>
        <v>2486.6400000000003</v>
      </c>
      <c r="T19" s="39">
        <v>0</v>
      </c>
      <c r="U19" s="35">
        <f t="shared" si="9"/>
        <v>0</v>
      </c>
      <c r="V19" s="38">
        <f>48.4+764.44+25</f>
        <v>837.84</v>
      </c>
      <c r="W19" s="48">
        <v>0</v>
      </c>
      <c r="X19" s="35">
        <f t="shared" si="10"/>
        <v>0</v>
      </c>
      <c r="Y19" s="38">
        <f>764.44+25</f>
        <v>789.44</v>
      </c>
      <c r="Z19" s="39">
        <v>0</v>
      </c>
      <c r="AA19" s="35">
        <f t="shared" si="11"/>
        <v>0</v>
      </c>
      <c r="AB19" s="38">
        <f>59.5+764.44+25</f>
        <v>848.94</v>
      </c>
      <c r="AC19" s="39">
        <v>0</v>
      </c>
      <c r="AD19" s="35">
        <f t="shared" si="12"/>
        <v>0</v>
      </c>
      <c r="AE19" s="38">
        <f>134.3+764.44+25</f>
        <v>923.74</v>
      </c>
      <c r="AF19" s="39">
        <v>0</v>
      </c>
      <c r="AG19" s="35">
        <f t="shared" si="13"/>
        <v>0</v>
      </c>
      <c r="AH19" s="38">
        <f>46.8+764.44+25</f>
        <v>836.24</v>
      </c>
      <c r="AI19" s="39">
        <v>0</v>
      </c>
      <c r="AJ19" s="35">
        <v>0</v>
      </c>
      <c r="AK19" s="38">
        <f>31+764.43+25</f>
        <v>820.43</v>
      </c>
      <c r="AL19" s="39">
        <v>0</v>
      </c>
      <c r="AM19" s="35">
        <v>0</v>
      </c>
      <c r="AN19" s="93">
        <f>764.43+25</f>
        <v>789.43</v>
      </c>
      <c r="AO19" s="39">
        <v>0</v>
      </c>
      <c r="AP19" s="89">
        <v>0</v>
      </c>
      <c r="AQ19" s="23"/>
      <c r="AR19" s="10"/>
      <c r="AS19" s="62" t="s">
        <v>39</v>
      </c>
      <c r="AT19" s="66">
        <v>9266.84</v>
      </c>
      <c r="AU19" s="59">
        <f t="shared" si="3"/>
        <v>0</v>
      </c>
      <c r="AV19" s="68">
        <v>0</v>
      </c>
      <c r="AW19" s="61">
        <f t="shared" si="4"/>
        <v>0</v>
      </c>
      <c r="AX19" s="154"/>
      <c r="AY19" s="18" t="s">
        <v>23</v>
      </c>
    </row>
    <row r="20" spans="1:51" ht="26.25" customHeight="1" x14ac:dyDescent="0.25">
      <c r="A20" s="168"/>
      <c r="B20" s="154"/>
      <c r="C20" s="21" t="s">
        <v>24</v>
      </c>
      <c r="D20" s="51">
        <f t="shared" si="5"/>
        <v>5450.2800000000007</v>
      </c>
      <c r="E20" s="51">
        <f t="shared" si="1"/>
        <v>0</v>
      </c>
      <c r="F20" s="33">
        <v>0</v>
      </c>
      <c r="G20" s="38">
        <v>0</v>
      </c>
      <c r="H20" s="33">
        <v>0</v>
      </c>
      <c r="I20" s="35">
        <v>0</v>
      </c>
      <c r="J20" s="38">
        <v>0</v>
      </c>
      <c r="K20" s="35">
        <v>0</v>
      </c>
      <c r="L20" s="35">
        <v>0</v>
      </c>
      <c r="M20" s="38">
        <v>0</v>
      </c>
      <c r="N20" s="39">
        <v>0</v>
      </c>
      <c r="O20" s="35">
        <v>0</v>
      </c>
      <c r="P20" s="38">
        <v>605.58000000000004</v>
      </c>
      <c r="Q20" s="39">
        <v>0</v>
      </c>
      <c r="R20" s="36">
        <v>0</v>
      </c>
      <c r="S20" s="38">
        <v>605.59</v>
      </c>
      <c r="T20" s="39">
        <v>0</v>
      </c>
      <c r="U20" s="35">
        <v>0</v>
      </c>
      <c r="V20" s="38">
        <v>605.59</v>
      </c>
      <c r="W20" s="48">
        <v>0</v>
      </c>
      <c r="X20" s="35">
        <v>0</v>
      </c>
      <c r="Y20" s="38">
        <v>605.59</v>
      </c>
      <c r="Z20" s="39">
        <v>0</v>
      </c>
      <c r="AA20" s="35">
        <v>0</v>
      </c>
      <c r="AB20" s="38">
        <v>605.59</v>
      </c>
      <c r="AC20" s="39">
        <v>0</v>
      </c>
      <c r="AD20" s="35">
        <v>0</v>
      </c>
      <c r="AE20" s="38">
        <v>605.59</v>
      </c>
      <c r="AF20" s="39">
        <v>0</v>
      </c>
      <c r="AG20" s="35">
        <v>0</v>
      </c>
      <c r="AH20" s="38">
        <v>605.59</v>
      </c>
      <c r="AI20" s="39">
        <v>0</v>
      </c>
      <c r="AJ20" s="35">
        <v>0</v>
      </c>
      <c r="AK20" s="38">
        <v>605.59</v>
      </c>
      <c r="AL20" s="39">
        <v>0</v>
      </c>
      <c r="AM20" s="35">
        <v>0</v>
      </c>
      <c r="AN20" s="93">
        <v>605.57000000000005</v>
      </c>
      <c r="AO20" s="39">
        <v>0</v>
      </c>
      <c r="AP20" s="89">
        <v>0</v>
      </c>
      <c r="AQ20" s="23"/>
      <c r="AR20" s="10"/>
      <c r="AS20" s="62" t="s">
        <v>40</v>
      </c>
      <c r="AT20" s="66">
        <v>5450.28</v>
      </c>
      <c r="AU20" s="59">
        <f t="shared" si="3"/>
        <v>0</v>
      </c>
      <c r="AV20" s="68">
        <v>0</v>
      </c>
      <c r="AW20" s="61">
        <f t="shared" si="4"/>
        <v>0</v>
      </c>
      <c r="AX20" s="154"/>
      <c r="AY20" s="21" t="s">
        <v>24</v>
      </c>
    </row>
    <row r="21" spans="1:51" ht="26.25" customHeight="1" x14ac:dyDescent="0.25">
      <c r="A21" s="169"/>
      <c r="B21" s="155"/>
      <c r="C21" s="18" t="s">
        <v>25</v>
      </c>
      <c r="D21" s="51">
        <f t="shared" si="5"/>
        <v>0</v>
      </c>
      <c r="E21" s="51">
        <f t="shared" si="1"/>
        <v>0</v>
      </c>
      <c r="F21" s="33">
        <v>0</v>
      </c>
      <c r="G21" s="38">
        <v>0</v>
      </c>
      <c r="H21" s="33">
        <v>0</v>
      </c>
      <c r="I21" s="35">
        <v>0</v>
      </c>
      <c r="J21" s="38">
        <v>0</v>
      </c>
      <c r="K21" s="35">
        <v>0</v>
      </c>
      <c r="L21" s="35">
        <v>0</v>
      </c>
      <c r="M21" s="38">
        <v>0</v>
      </c>
      <c r="N21" s="39">
        <v>0</v>
      </c>
      <c r="O21" s="35">
        <v>0</v>
      </c>
      <c r="P21" s="38">
        <v>0</v>
      </c>
      <c r="Q21" s="39">
        <v>0</v>
      </c>
      <c r="R21" s="36">
        <v>0</v>
      </c>
      <c r="S21" s="38">
        <v>0</v>
      </c>
      <c r="T21" s="39">
        <v>0</v>
      </c>
      <c r="U21" s="35">
        <v>0</v>
      </c>
      <c r="V21" s="38">
        <v>0</v>
      </c>
      <c r="W21" s="48">
        <v>0</v>
      </c>
      <c r="X21" s="35">
        <v>0</v>
      </c>
      <c r="Y21" s="38">
        <v>0</v>
      </c>
      <c r="Z21" s="39">
        <v>0</v>
      </c>
      <c r="AA21" s="35">
        <v>0</v>
      </c>
      <c r="AB21" s="38">
        <v>0</v>
      </c>
      <c r="AC21" s="39">
        <v>0</v>
      </c>
      <c r="AD21" s="35">
        <v>0</v>
      </c>
      <c r="AE21" s="38">
        <v>0</v>
      </c>
      <c r="AF21" s="39">
        <v>0</v>
      </c>
      <c r="AG21" s="35">
        <v>0</v>
      </c>
      <c r="AH21" s="38">
        <v>0</v>
      </c>
      <c r="AI21" s="39">
        <v>0</v>
      </c>
      <c r="AJ21" s="35">
        <v>0</v>
      </c>
      <c r="AK21" s="38">
        <v>0</v>
      </c>
      <c r="AL21" s="39">
        <v>0</v>
      </c>
      <c r="AM21" s="35">
        <v>0</v>
      </c>
      <c r="AN21" s="93">
        <v>0</v>
      </c>
      <c r="AO21" s="39">
        <v>0</v>
      </c>
      <c r="AP21" s="39">
        <v>0</v>
      </c>
      <c r="AQ21" s="23"/>
      <c r="AR21" s="10"/>
      <c r="AS21" s="57" t="s">
        <v>41</v>
      </c>
      <c r="AT21" s="58">
        <v>0</v>
      </c>
      <c r="AU21" s="59">
        <f t="shared" si="3"/>
        <v>0</v>
      </c>
      <c r="AV21" s="60">
        <v>0</v>
      </c>
      <c r="AW21" s="61">
        <f t="shared" si="4"/>
        <v>0</v>
      </c>
      <c r="AX21" s="155"/>
      <c r="AY21" s="18" t="s">
        <v>25</v>
      </c>
    </row>
    <row r="22" spans="1:51" ht="37.5" customHeight="1" x14ac:dyDescent="0.25">
      <c r="A22" s="167" t="s">
        <v>30</v>
      </c>
      <c r="B22" s="153" t="s">
        <v>28</v>
      </c>
      <c r="C22" s="18" t="s">
        <v>21</v>
      </c>
      <c r="D22" s="49">
        <f>G22+J22+M22+P22+S22+V22+Y22+AB22+AE22+AH22+AK22+AN22</f>
        <v>5660.0000000000009</v>
      </c>
      <c r="E22" s="49">
        <f t="shared" si="1"/>
        <v>913.89</v>
      </c>
      <c r="F22" s="40">
        <f t="shared" si="2"/>
        <v>16.146466431095405</v>
      </c>
      <c r="G22" s="40">
        <f>G23+G24</f>
        <v>0</v>
      </c>
      <c r="H22" s="40">
        <f>H23+H24+H25+H26</f>
        <v>0</v>
      </c>
      <c r="I22" s="41">
        <v>0</v>
      </c>
      <c r="J22" s="40">
        <f>J23+J24+J25</f>
        <v>150</v>
      </c>
      <c r="K22" s="41">
        <f>K23+K24+K25+K26</f>
        <v>40.53</v>
      </c>
      <c r="L22" s="41">
        <v>0</v>
      </c>
      <c r="M22" s="40">
        <f>M23+M24+M25</f>
        <v>895.4</v>
      </c>
      <c r="N22" s="40">
        <f>N23+N24+N25+N26</f>
        <v>631.88</v>
      </c>
      <c r="O22" s="41">
        <f t="shared" si="7"/>
        <v>70.569577842305122</v>
      </c>
      <c r="P22" s="40">
        <f>P23+P24+P25</f>
        <v>437</v>
      </c>
      <c r="Q22" s="40">
        <f>Q23+Q24+Q25+Q26</f>
        <v>241.48</v>
      </c>
      <c r="R22" s="41">
        <f t="shared" si="8"/>
        <v>55.258581235697932</v>
      </c>
      <c r="S22" s="40">
        <f>S23+S24+S25</f>
        <v>756.48</v>
      </c>
      <c r="T22" s="40">
        <f>T23</f>
        <v>0</v>
      </c>
      <c r="U22" s="41">
        <f t="shared" si="9"/>
        <v>0</v>
      </c>
      <c r="V22" s="40">
        <f>V23+V24+V25</f>
        <v>1251.3800000000001</v>
      </c>
      <c r="W22" s="49">
        <f>W23+W24+W25+W26</f>
        <v>0</v>
      </c>
      <c r="X22" s="41">
        <f t="shared" si="10"/>
        <v>0</v>
      </c>
      <c r="Y22" s="40">
        <f>Y23+Y24+Y25</f>
        <v>454.38</v>
      </c>
      <c r="Z22" s="40">
        <f>Z23</f>
        <v>0</v>
      </c>
      <c r="AA22" s="41">
        <f t="shared" si="11"/>
        <v>0</v>
      </c>
      <c r="AB22" s="40">
        <f>AB23+AB24+AB25</f>
        <v>479.88</v>
      </c>
      <c r="AC22" s="40">
        <f>AC23</f>
        <v>0</v>
      </c>
      <c r="AD22" s="41">
        <f t="shared" si="12"/>
        <v>0</v>
      </c>
      <c r="AE22" s="40">
        <f>AE23+AE24</f>
        <v>372.38</v>
      </c>
      <c r="AF22" s="40">
        <f>AF23+AF24</f>
        <v>0</v>
      </c>
      <c r="AG22" s="41">
        <f t="shared" si="13"/>
        <v>0</v>
      </c>
      <c r="AH22" s="40">
        <f>AH23+AH24</f>
        <v>154.38</v>
      </c>
      <c r="AI22" s="40">
        <f>AI23</f>
        <v>0</v>
      </c>
      <c r="AJ22" s="41">
        <f t="shared" si="14"/>
        <v>0</v>
      </c>
      <c r="AK22" s="40">
        <f>AK23+AK24</f>
        <v>254.38</v>
      </c>
      <c r="AL22" s="40">
        <f>AL23</f>
        <v>0</v>
      </c>
      <c r="AM22" s="41">
        <f t="shared" si="15"/>
        <v>0</v>
      </c>
      <c r="AN22" s="94">
        <f>AN23+AN24</f>
        <v>454.34000000000003</v>
      </c>
      <c r="AO22" s="40">
        <v>0</v>
      </c>
      <c r="AP22" s="40">
        <v>0</v>
      </c>
      <c r="AQ22" s="19"/>
      <c r="AR22" s="82"/>
      <c r="AS22" s="83" t="s">
        <v>37</v>
      </c>
      <c r="AT22" s="84">
        <f>AT23+AT24+AT25+AT26</f>
        <v>5660</v>
      </c>
      <c r="AU22" s="85">
        <f t="shared" si="3"/>
        <v>0</v>
      </c>
      <c r="AV22" s="86">
        <f>AV23+AV24+AV25+AV26</f>
        <v>913.89</v>
      </c>
      <c r="AW22" s="87">
        <f t="shared" si="4"/>
        <v>0</v>
      </c>
      <c r="AX22" s="153" t="s">
        <v>28</v>
      </c>
      <c r="AY22" s="18" t="s">
        <v>21</v>
      </c>
    </row>
    <row r="23" spans="1:51" ht="26.25" customHeight="1" x14ac:dyDescent="0.25">
      <c r="A23" s="168"/>
      <c r="B23" s="154"/>
      <c r="C23" s="18" t="s">
        <v>22</v>
      </c>
      <c r="D23" s="51">
        <f>G23+J23+M23+P23+S23+V23+Y23+AB23+AE23+AH23+AK23+AN23</f>
        <v>5660.0000000000009</v>
      </c>
      <c r="E23" s="51">
        <f t="shared" si="1"/>
        <v>913.89</v>
      </c>
      <c r="F23" s="33">
        <f t="shared" si="2"/>
        <v>16.146466431095405</v>
      </c>
      <c r="G23" s="38">
        <v>0</v>
      </c>
      <c r="H23" s="33">
        <v>0</v>
      </c>
      <c r="I23" s="35"/>
      <c r="J23" s="38">
        <v>150</v>
      </c>
      <c r="K23" s="35">
        <v>40.53</v>
      </c>
      <c r="L23" s="35">
        <v>0</v>
      </c>
      <c r="M23" s="38">
        <v>895.4</v>
      </c>
      <c r="N23" s="33">
        <v>631.88</v>
      </c>
      <c r="O23" s="35">
        <v>0</v>
      </c>
      <c r="P23" s="38">
        <v>437</v>
      </c>
      <c r="Q23" s="119">
        <v>241.48</v>
      </c>
      <c r="R23" s="36">
        <f t="shared" si="8"/>
        <v>55.258581235697932</v>
      </c>
      <c r="S23" s="38">
        <f>702.1+54.38</f>
        <v>756.48</v>
      </c>
      <c r="T23" s="39">
        <v>0</v>
      </c>
      <c r="U23" s="35">
        <f t="shared" si="9"/>
        <v>0</v>
      </c>
      <c r="V23" s="38">
        <f>1197+54.38</f>
        <v>1251.3800000000001</v>
      </c>
      <c r="W23" s="48">
        <v>0</v>
      </c>
      <c r="X23" s="35">
        <f t="shared" si="10"/>
        <v>0</v>
      </c>
      <c r="Y23" s="38">
        <f>400+54.38</f>
        <v>454.38</v>
      </c>
      <c r="Z23" s="39">
        <v>0</v>
      </c>
      <c r="AA23" s="35">
        <v>0</v>
      </c>
      <c r="AB23" s="38">
        <f>425.5+54.38</f>
        <v>479.88</v>
      </c>
      <c r="AC23" s="39">
        <v>0</v>
      </c>
      <c r="AD23" s="35">
        <f t="shared" si="12"/>
        <v>0</v>
      </c>
      <c r="AE23" s="38">
        <f>318+54.38</f>
        <v>372.38</v>
      </c>
      <c r="AF23" s="39">
        <v>0</v>
      </c>
      <c r="AG23" s="35">
        <f t="shared" si="13"/>
        <v>0</v>
      </c>
      <c r="AH23" s="38">
        <f>100+54.38</f>
        <v>154.38</v>
      </c>
      <c r="AI23" s="39">
        <v>0</v>
      </c>
      <c r="AJ23" s="35">
        <f t="shared" si="14"/>
        <v>0</v>
      </c>
      <c r="AK23" s="38">
        <f>200+54.38</f>
        <v>254.38</v>
      </c>
      <c r="AL23" s="39">
        <v>0</v>
      </c>
      <c r="AM23" s="35">
        <f t="shared" si="15"/>
        <v>0</v>
      </c>
      <c r="AN23" s="93">
        <f>400+54.34</f>
        <v>454.34000000000003</v>
      </c>
      <c r="AO23" s="39">
        <v>0</v>
      </c>
      <c r="AP23" s="89">
        <v>0</v>
      </c>
      <c r="AQ23" s="22"/>
      <c r="AR23" s="10"/>
      <c r="AS23" s="62" t="s">
        <v>38</v>
      </c>
      <c r="AT23" s="66">
        <v>5660</v>
      </c>
      <c r="AU23" s="59">
        <f t="shared" si="3"/>
        <v>0</v>
      </c>
      <c r="AV23" s="68">
        <v>913.89</v>
      </c>
      <c r="AW23" s="61">
        <f t="shared" si="4"/>
        <v>0</v>
      </c>
      <c r="AX23" s="154"/>
      <c r="AY23" s="18" t="s">
        <v>22</v>
      </c>
    </row>
    <row r="24" spans="1:51" ht="26.25" customHeight="1" x14ac:dyDescent="0.25">
      <c r="A24" s="168"/>
      <c r="B24" s="154"/>
      <c r="C24" s="21" t="s">
        <v>23</v>
      </c>
      <c r="D24" s="51">
        <f>G24+J24+M24+P24+S24+V24+Y24+AB24+AE24+AH24+AK24+AN24</f>
        <v>0</v>
      </c>
      <c r="E24" s="51">
        <f t="shared" si="1"/>
        <v>0</v>
      </c>
      <c r="F24" s="33">
        <v>0</v>
      </c>
      <c r="G24" s="38">
        <v>0</v>
      </c>
      <c r="H24" s="33">
        <v>0</v>
      </c>
      <c r="I24" s="35">
        <v>0</v>
      </c>
      <c r="J24" s="38">
        <v>0</v>
      </c>
      <c r="K24" s="35">
        <v>0</v>
      </c>
      <c r="L24" s="35">
        <v>0</v>
      </c>
      <c r="M24" s="38">
        <v>0</v>
      </c>
      <c r="N24" s="39">
        <v>0</v>
      </c>
      <c r="O24" s="35">
        <v>0</v>
      </c>
      <c r="P24" s="38">
        <v>0</v>
      </c>
      <c r="Q24" s="39">
        <v>0</v>
      </c>
      <c r="R24" s="36">
        <v>0</v>
      </c>
      <c r="S24" s="38">
        <v>0</v>
      </c>
      <c r="T24" s="39">
        <v>0</v>
      </c>
      <c r="U24" s="35">
        <v>0</v>
      </c>
      <c r="V24" s="38">
        <v>0</v>
      </c>
      <c r="W24" s="48">
        <v>0</v>
      </c>
      <c r="X24" s="35">
        <v>0</v>
      </c>
      <c r="Y24" s="38">
        <v>0</v>
      </c>
      <c r="Z24" s="39">
        <v>0</v>
      </c>
      <c r="AA24" s="35">
        <v>0</v>
      </c>
      <c r="AB24" s="38">
        <v>0</v>
      </c>
      <c r="AC24" s="39">
        <v>0</v>
      </c>
      <c r="AD24" s="35">
        <v>0</v>
      </c>
      <c r="AE24" s="38">
        <v>0</v>
      </c>
      <c r="AF24" s="39">
        <v>0</v>
      </c>
      <c r="AG24" s="35">
        <v>0</v>
      </c>
      <c r="AH24" s="38">
        <v>0</v>
      </c>
      <c r="AI24" s="39">
        <v>0</v>
      </c>
      <c r="AJ24" s="35">
        <v>0</v>
      </c>
      <c r="AK24" s="38">
        <v>0</v>
      </c>
      <c r="AL24" s="39">
        <v>0</v>
      </c>
      <c r="AM24" s="35">
        <v>0</v>
      </c>
      <c r="AN24" s="93">
        <v>0</v>
      </c>
      <c r="AO24" s="39">
        <v>0</v>
      </c>
      <c r="AP24" s="89">
        <v>0</v>
      </c>
      <c r="AQ24" s="23"/>
      <c r="AR24" s="10"/>
      <c r="AS24" s="62" t="s">
        <v>39</v>
      </c>
      <c r="AT24" s="66">
        <v>0</v>
      </c>
      <c r="AU24" s="59">
        <f t="shared" si="3"/>
        <v>0</v>
      </c>
      <c r="AV24" s="68">
        <v>0</v>
      </c>
      <c r="AW24" s="61">
        <f t="shared" si="4"/>
        <v>0</v>
      </c>
      <c r="AX24" s="154"/>
      <c r="AY24" s="21" t="s">
        <v>23</v>
      </c>
    </row>
    <row r="25" spans="1:51" ht="26.25" customHeight="1" x14ac:dyDescent="0.25">
      <c r="A25" s="168"/>
      <c r="B25" s="154"/>
      <c r="C25" s="21" t="s">
        <v>24</v>
      </c>
      <c r="D25" s="51">
        <f t="shared" si="5"/>
        <v>0</v>
      </c>
      <c r="E25" s="51">
        <f t="shared" si="1"/>
        <v>0</v>
      </c>
      <c r="F25" s="33">
        <v>0</v>
      </c>
      <c r="G25" s="38">
        <v>0</v>
      </c>
      <c r="H25" s="33">
        <v>0</v>
      </c>
      <c r="I25" s="35">
        <v>0</v>
      </c>
      <c r="J25" s="38">
        <v>0</v>
      </c>
      <c r="K25" s="35">
        <v>0</v>
      </c>
      <c r="L25" s="35">
        <v>0</v>
      </c>
      <c r="M25" s="38">
        <v>0</v>
      </c>
      <c r="N25" s="39">
        <v>0</v>
      </c>
      <c r="O25" s="35">
        <v>0</v>
      </c>
      <c r="P25" s="38">
        <v>0</v>
      </c>
      <c r="Q25" s="39">
        <v>0</v>
      </c>
      <c r="R25" s="36">
        <v>0</v>
      </c>
      <c r="S25" s="38">
        <v>0</v>
      </c>
      <c r="T25" s="39">
        <v>0</v>
      </c>
      <c r="U25" s="35">
        <v>0</v>
      </c>
      <c r="V25" s="38">
        <v>0</v>
      </c>
      <c r="W25" s="48">
        <v>0</v>
      </c>
      <c r="X25" s="35">
        <v>0</v>
      </c>
      <c r="Y25" s="38">
        <v>0</v>
      </c>
      <c r="Z25" s="39">
        <v>0</v>
      </c>
      <c r="AA25" s="35">
        <v>0</v>
      </c>
      <c r="AB25" s="38">
        <v>0</v>
      </c>
      <c r="AC25" s="39">
        <v>0</v>
      </c>
      <c r="AD25" s="35">
        <v>0</v>
      </c>
      <c r="AE25" s="38">
        <v>0</v>
      </c>
      <c r="AF25" s="39">
        <v>0</v>
      </c>
      <c r="AG25" s="35">
        <v>0</v>
      </c>
      <c r="AH25" s="38">
        <v>0</v>
      </c>
      <c r="AI25" s="39">
        <v>0</v>
      </c>
      <c r="AJ25" s="35">
        <v>0</v>
      </c>
      <c r="AK25" s="38">
        <v>0</v>
      </c>
      <c r="AL25" s="39">
        <v>0</v>
      </c>
      <c r="AM25" s="35">
        <v>0</v>
      </c>
      <c r="AN25" s="93">
        <v>0</v>
      </c>
      <c r="AO25" s="39">
        <v>0</v>
      </c>
      <c r="AP25" s="39">
        <v>0</v>
      </c>
      <c r="AQ25" s="23"/>
      <c r="AR25" s="10"/>
      <c r="AS25" s="62" t="s">
        <v>40</v>
      </c>
      <c r="AT25" s="58">
        <v>0</v>
      </c>
      <c r="AU25" s="59">
        <f t="shared" si="3"/>
        <v>0</v>
      </c>
      <c r="AV25" s="60">
        <v>0</v>
      </c>
      <c r="AW25" s="61">
        <f t="shared" si="4"/>
        <v>0</v>
      </c>
      <c r="AX25" s="154"/>
      <c r="AY25" s="21" t="s">
        <v>24</v>
      </c>
    </row>
    <row r="26" spans="1:51" ht="26.25" customHeight="1" x14ac:dyDescent="0.25">
      <c r="A26" s="169"/>
      <c r="B26" s="155"/>
      <c r="C26" s="18" t="s">
        <v>25</v>
      </c>
      <c r="D26" s="51">
        <f t="shared" si="5"/>
        <v>0</v>
      </c>
      <c r="E26" s="51">
        <f t="shared" si="1"/>
        <v>0</v>
      </c>
      <c r="F26" s="33">
        <v>0</v>
      </c>
      <c r="G26" s="38">
        <v>0</v>
      </c>
      <c r="H26" s="33">
        <v>0</v>
      </c>
      <c r="I26" s="35">
        <v>0</v>
      </c>
      <c r="J26" s="38">
        <v>0</v>
      </c>
      <c r="K26" s="35">
        <v>0</v>
      </c>
      <c r="L26" s="35">
        <v>0</v>
      </c>
      <c r="M26" s="38">
        <v>0</v>
      </c>
      <c r="N26" s="39">
        <v>0</v>
      </c>
      <c r="O26" s="35">
        <v>0</v>
      </c>
      <c r="P26" s="38">
        <v>0</v>
      </c>
      <c r="Q26" s="39">
        <v>0</v>
      </c>
      <c r="R26" s="36">
        <v>0</v>
      </c>
      <c r="S26" s="38">
        <v>0</v>
      </c>
      <c r="T26" s="39">
        <v>0</v>
      </c>
      <c r="U26" s="35">
        <v>0</v>
      </c>
      <c r="V26" s="38">
        <v>0</v>
      </c>
      <c r="W26" s="48">
        <v>0</v>
      </c>
      <c r="X26" s="35">
        <v>0</v>
      </c>
      <c r="Y26" s="38">
        <v>0</v>
      </c>
      <c r="Z26" s="39">
        <v>0</v>
      </c>
      <c r="AA26" s="35">
        <v>0</v>
      </c>
      <c r="AB26" s="38">
        <v>0</v>
      </c>
      <c r="AC26" s="39">
        <v>0</v>
      </c>
      <c r="AD26" s="35">
        <v>0</v>
      </c>
      <c r="AE26" s="38">
        <v>0</v>
      </c>
      <c r="AF26" s="39">
        <v>0</v>
      </c>
      <c r="AG26" s="35">
        <v>0</v>
      </c>
      <c r="AH26" s="38">
        <v>0</v>
      </c>
      <c r="AI26" s="39">
        <v>0</v>
      </c>
      <c r="AJ26" s="35">
        <v>0</v>
      </c>
      <c r="AK26" s="38">
        <v>0</v>
      </c>
      <c r="AL26" s="39">
        <v>0</v>
      </c>
      <c r="AM26" s="35">
        <v>0</v>
      </c>
      <c r="AN26" s="93">
        <v>0</v>
      </c>
      <c r="AO26" s="39">
        <v>0</v>
      </c>
      <c r="AP26" s="39">
        <v>0</v>
      </c>
      <c r="AQ26" s="23"/>
      <c r="AR26" s="10"/>
      <c r="AS26" s="57" t="s">
        <v>41</v>
      </c>
      <c r="AT26" s="58">
        <v>0</v>
      </c>
      <c r="AU26" s="59">
        <f t="shared" si="3"/>
        <v>0</v>
      </c>
      <c r="AV26" s="60">
        <v>0</v>
      </c>
      <c r="AW26" s="61">
        <f t="shared" si="4"/>
        <v>0</v>
      </c>
      <c r="AX26" s="155"/>
      <c r="AY26" s="18" t="s">
        <v>25</v>
      </c>
    </row>
    <row r="27" spans="1:51" ht="39" customHeight="1" x14ac:dyDescent="0.25">
      <c r="A27" s="167" t="s">
        <v>31</v>
      </c>
      <c r="B27" s="153" t="s">
        <v>29</v>
      </c>
      <c r="C27" s="24" t="s">
        <v>21</v>
      </c>
      <c r="D27" s="50">
        <f>G27+J27+M27+P27+S27+V27+Y27+AB27+AE27+AH27+AK27+AN27</f>
        <v>405100.79999999999</v>
      </c>
      <c r="E27" s="49">
        <f t="shared" si="1"/>
        <v>115775.29000000001</v>
      </c>
      <c r="F27" s="40">
        <f t="shared" si="2"/>
        <v>28.579378268322358</v>
      </c>
      <c r="G27" s="42">
        <f>G28+G29</f>
        <v>13280.8</v>
      </c>
      <c r="H27" s="42">
        <f>H28+H29+H30+H31</f>
        <v>19047.900000000001</v>
      </c>
      <c r="I27" s="41">
        <f t="shared" si="19"/>
        <v>143.42434190711404</v>
      </c>
      <c r="J27" s="42">
        <f>J28+J29</f>
        <v>32635.8</v>
      </c>
      <c r="K27" s="41">
        <f>K28+K29+K30+K31</f>
        <v>21818.799999999999</v>
      </c>
      <c r="L27" s="41">
        <f t="shared" si="6"/>
        <v>66.855416444517985</v>
      </c>
      <c r="M27" s="42">
        <f>M28+M29</f>
        <v>35797.5</v>
      </c>
      <c r="N27" s="42">
        <f>N28+N29+N30+N31</f>
        <v>30671.88</v>
      </c>
      <c r="O27" s="41">
        <f t="shared" si="7"/>
        <v>85.681625811858382</v>
      </c>
      <c r="P27" s="42">
        <f>P28+P29</f>
        <v>34262.899999999994</v>
      </c>
      <c r="Q27" s="42">
        <f>Q28+Q29+Q30</f>
        <v>44236.71</v>
      </c>
      <c r="R27" s="41">
        <f t="shared" si="8"/>
        <v>129.10964921241344</v>
      </c>
      <c r="S27" s="42">
        <f>S28+S29</f>
        <v>41712.299999999996</v>
      </c>
      <c r="T27" s="42">
        <f>T28+T29+T30+T31</f>
        <v>0</v>
      </c>
      <c r="U27" s="41">
        <f t="shared" si="9"/>
        <v>0</v>
      </c>
      <c r="V27" s="42">
        <f>V28+V29</f>
        <v>45100.92</v>
      </c>
      <c r="W27" s="50">
        <f>W28+W29+W30+W31</f>
        <v>0</v>
      </c>
      <c r="X27" s="41">
        <f t="shared" si="10"/>
        <v>0</v>
      </c>
      <c r="Y27" s="42">
        <f>Y28+Y29</f>
        <v>38055.530000000006</v>
      </c>
      <c r="Z27" s="42">
        <f>Z28+Z29</f>
        <v>0</v>
      </c>
      <c r="AA27" s="41">
        <f t="shared" si="11"/>
        <v>0</v>
      </c>
      <c r="AB27" s="42">
        <f>AB28+AB29</f>
        <v>38332.730000000003</v>
      </c>
      <c r="AC27" s="40">
        <f>AC28+AC29</f>
        <v>0</v>
      </c>
      <c r="AD27" s="41">
        <f t="shared" si="12"/>
        <v>0</v>
      </c>
      <c r="AE27" s="42">
        <f>AE28+AE29</f>
        <v>33930.83</v>
      </c>
      <c r="AF27" s="42">
        <f>AF28+AF29</f>
        <v>0</v>
      </c>
      <c r="AG27" s="41">
        <f t="shared" si="13"/>
        <v>0</v>
      </c>
      <c r="AH27" s="42">
        <f>AH28+AH29</f>
        <v>31302.829999999998</v>
      </c>
      <c r="AI27" s="42">
        <f>AI28+AI29</f>
        <v>0</v>
      </c>
      <c r="AJ27" s="41">
        <f t="shared" si="14"/>
        <v>0</v>
      </c>
      <c r="AK27" s="42">
        <f>AK28+AK29</f>
        <v>32195.73</v>
      </c>
      <c r="AL27" s="42">
        <f>AL28+AL29</f>
        <v>0</v>
      </c>
      <c r="AM27" s="41">
        <f t="shared" si="15"/>
        <v>0</v>
      </c>
      <c r="AN27" s="95">
        <f>AN28+AN29</f>
        <v>28492.93</v>
      </c>
      <c r="AO27" s="42">
        <v>0</v>
      </c>
      <c r="AP27" s="42">
        <v>0</v>
      </c>
      <c r="AQ27" s="19"/>
      <c r="AR27" s="88"/>
      <c r="AS27" s="83" t="s">
        <v>37</v>
      </c>
      <c r="AT27" s="84">
        <f>AT28+AT29+AT30+AT31</f>
        <v>405100.79999999999</v>
      </c>
      <c r="AU27" s="85">
        <f>AT27-D27</f>
        <v>0</v>
      </c>
      <c r="AV27" s="86">
        <f>AV28+AV29+AV30+AV31</f>
        <v>115775.29</v>
      </c>
      <c r="AW27" s="87">
        <f>AV27-E27</f>
        <v>0</v>
      </c>
      <c r="AX27" s="153" t="s">
        <v>29</v>
      </c>
      <c r="AY27" s="24" t="s">
        <v>21</v>
      </c>
    </row>
    <row r="28" spans="1:51" ht="26.25" customHeight="1" x14ac:dyDescent="0.25">
      <c r="A28" s="168"/>
      <c r="B28" s="154"/>
      <c r="C28" s="18" t="s">
        <v>22</v>
      </c>
      <c r="D28" s="52">
        <f>G28+J28+M28+P28+S28+V28+Y28+AB28+AE28+AH28+AK28+AN28</f>
        <v>405100.79999999999</v>
      </c>
      <c r="E28" s="51">
        <f>H28+K28+N28+Q28+T28+W28+Z28+AC28+AF28+AI28+AL28+AO28</f>
        <v>115775.29000000001</v>
      </c>
      <c r="F28" s="33">
        <v>0</v>
      </c>
      <c r="G28" s="38">
        <v>13280.8</v>
      </c>
      <c r="H28" s="33">
        <v>19047.900000000001</v>
      </c>
      <c r="I28" s="35">
        <f>H28/G28*100</f>
        <v>143.42434190711404</v>
      </c>
      <c r="J28" s="38">
        <f>32638.8-3</f>
        <v>32635.8</v>
      </c>
      <c r="K28" s="35">
        <v>21818.799999999999</v>
      </c>
      <c r="L28" s="35">
        <v>0</v>
      </c>
      <c r="M28" s="38">
        <v>35797.5</v>
      </c>
      <c r="N28" s="33">
        <v>30671.88</v>
      </c>
      <c r="O28" s="35">
        <v>0</v>
      </c>
      <c r="P28" s="38">
        <f>33901.7+361.2</f>
        <v>34262.899999999994</v>
      </c>
      <c r="Q28" s="119">
        <v>44236.71</v>
      </c>
      <c r="R28" s="36">
        <f t="shared" si="8"/>
        <v>129.10964921241344</v>
      </c>
      <c r="S28" s="38">
        <f>41351.1+361.2</f>
        <v>41712.299999999996</v>
      </c>
      <c r="T28" s="39">
        <v>0</v>
      </c>
      <c r="U28" s="35">
        <f t="shared" si="9"/>
        <v>0</v>
      </c>
      <c r="V28" s="38">
        <f>44739.7+361.22</f>
        <v>45100.92</v>
      </c>
      <c r="W28" s="48">
        <v>0</v>
      </c>
      <c r="X28" s="35">
        <v>0</v>
      </c>
      <c r="Y28" s="38">
        <f>37694.3+361.23</f>
        <v>38055.530000000006</v>
      </c>
      <c r="Z28" s="39">
        <v>0</v>
      </c>
      <c r="AA28" s="35">
        <f t="shared" si="11"/>
        <v>0</v>
      </c>
      <c r="AB28" s="38">
        <f>37971.5+361.23</f>
        <v>38332.730000000003</v>
      </c>
      <c r="AC28" s="39">
        <v>0</v>
      </c>
      <c r="AD28" s="35">
        <v>0</v>
      </c>
      <c r="AE28" s="38">
        <f>33569.6+361.23</f>
        <v>33930.83</v>
      </c>
      <c r="AF28" s="39">
        <v>0</v>
      </c>
      <c r="AG28" s="35">
        <v>0</v>
      </c>
      <c r="AH28" s="38">
        <f>30941.6+361.23</f>
        <v>31302.829999999998</v>
      </c>
      <c r="AI28" s="39">
        <v>0</v>
      </c>
      <c r="AJ28" s="35">
        <v>0</v>
      </c>
      <c r="AK28" s="38">
        <f>31834.5+361.23</f>
        <v>32195.73</v>
      </c>
      <c r="AL28" s="39">
        <v>0</v>
      </c>
      <c r="AM28" s="35">
        <v>0</v>
      </c>
      <c r="AN28" s="93">
        <f>28131.7+361.23</f>
        <v>28492.93</v>
      </c>
      <c r="AO28" s="39">
        <v>0</v>
      </c>
      <c r="AP28" s="89">
        <v>0</v>
      </c>
      <c r="AQ28" s="22"/>
      <c r="AR28" s="10"/>
      <c r="AS28" s="62" t="s">
        <v>38</v>
      </c>
      <c r="AT28" s="66">
        <v>405100.79999999999</v>
      </c>
      <c r="AU28" s="59">
        <f t="shared" si="3"/>
        <v>0</v>
      </c>
      <c r="AV28" s="68">
        <v>115775.29</v>
      </c>
      <c r="AW28" s="61">
        <f>AV28-E28</f>
        <v>0</v>
      </c>
      <c r="AX28" s="154"/>
      <c r="AY28" s="18" t="s">
        <v>22</v>
      </c>
    </row>
    <row r="29" spans="1:51" ht="26.25" customHeight="1" x14ac:dyDescent="0.25">
      <c r="A29" s="168"/>
      <c r="B29" s="154"/>
      <c r="C29" s="21" t="s">
        <v>23</v>
      </c>
      <c r="D29" s="52">
        <f>G29+J29+M29+P29+S29+V29+Y29+AB29+AE29+AH29+AK29+AN29</f>
        <v>0</v>
      </c>
      <c r="E29" s="51">
        <f t="shared" si="1"/>
        <v>0</v>
      </c>
      <c r="F29" s="33" t="e">
        <f t="shared" si="2"/>
        <v>#DIV/0!</v>
      </c>
      <c r="G29" s="38">
        <v>0</v>
      </c>
      <c r="H29" s="33">
        <v>0</v>
      </c>
      <c r="I29" s="35" t="e">
        <f t="shared" si="19"/>
        <v>#DIV/0!</v>
      </c>
      <c r="J29" s="38">
        <v>0</v>
      </c>
      <c r="K29" s="35">
        <v>0</v>
      </c>
      <c r="L29" s="35" t="e">
        <f t="shared" si="6"/>
        <v>#DIV/0!</v>
      </c>
      <c r="M29" s="38">
        <v>0</v>
      </c>
      <c r="N29" s="39">
        <v>0</v>
      </c>
      <c r="O29" s="35" t="e">
        <f t="shared" si="7"/>
        <v>#DIV/0!</v>
      </c>
      <c r="P29" s="38">
        <v>0</v>
      </c>
      <c r="Q29" s="39">
        <v>0</v>
      </c>
      <c r="R29" s="36" t="e">
        <f t="shared" si="8"/>
        <v>#DIV/0!</v>
      </c>
      <c r="S29" s="38">
        <v>0</v>
      </c>
      <c r="T29" s="39">
        <v>0</v>
      </c>
      <c r="U29" s="35" t="e">
        <f t="shared" si="9"/>
        <v>#DIV/0!</v>
      </c>
      <c r="V29" s="38">
        <v>0</v>
      </c>
      <c r="W29" s="48">
        <v>0</v>
      </c>
      <c r="X29" s="35" t="e">
        <f t="shared" si="10"/>
        <v>#DIV/0!</v>
      </c>
      <c r="Y29" s="38">
        <v>0</v>
      </c>
      <c r="Z29" s="39">
        <v>0</v>
      </c>
      <c r="AA29" s="35" t="e">
        <f t="shared" si="11"/>
        <v>#DIV/0!</v>
      </c>
      <c r="AB29" s="38">
        <v>0</v>
      </c>
      <c r="AC29" s="39">
        <v>0</v>
      </c>
      <c r="AD29" s="35" t="e">
        <f t="shared" si="12"/>
        <v>#DIV/0!</v>
      </c>
      <c r="AE29" s="38">
        <v>0</v>
      </c>
      <c r="AF29" s="39">
        <v>0</v>
      </c>
      <c r="AG29" s="35" t="e">
        <f t="shared" si="13"/>
        <v>#DIV/0!</v>
      </c>
      <c r="AH29" s="38">
        <v>0</v>
      </c>
      <c r="AI29" s="39">
        <v>0</v>
      </c>
      <c r="AJ29" s="35">
        <v>0</v>
      </c>
      <c r="AK29" s="38">
        <v>0</v>
      </c>
      <c r="AL29" s="39">
        <v>0</v>
      </c>
      <c r="AM29" s="35" t="e">
        <f t="shared" si="15"/>
        <v>#DIV/0!</v>
      </c>
      <c r="AN29" s="93">
        <v>0</v>
      </c>
      <c r="AO29" s="39">
        <v>0</v>
      </c>
      <c r="AP29" s="89">
        <v>0</v>
      </c>
      <c r="AQ29" s="23"/>
      <c r="AR29" s="10"/>
      <c r="AS29" s="62" t="s">
        <v>39</v>
      </c>
      <c r="AT29" s="67">
        <v>0</v>
      </c>
      <c r="AU29" s="59">
        <f>AT29-D29</f>
        <v>0</v>
      </c>
      <c r="AV29" s="69">
        <v>0</v>
      </c>
      <c r="AW29" s="61">
        <f t="shared" si="4"/>
        <v>0</v>
      </c>
      <c r="AX29" s="154"/>
      <c r="AY29" s="21" t="s">
        <v>23</v>
      </c>
    </row>
    <row r="30" spans="1:51" ht="26.25" customHeight="1" x14ac:dyDescent="0.25">
      <c r="A30" s="168"/>
      <c r="B30" s="154"/>
      <c r="C30" s="21" t="s">
        <v>24</v>
      </c>
      <c r="D30" s="52">
        <f t="shared" ref="D30:D31" si="20">G30+J30+M30+P30+S30+V30+Y30+AB30+AE30+AH30+AK30+AN30</f>
        <v>0</v>
      </c>
      <c r="E30" s="51">
        <f t="shared" si="1"/>
        <v>0</v>
      </c>
      <c r="F30" s="33">
        <v>0</v>
      </c>
      <c r="G30" s="38">
        <v>0</v>
      </c>
      <c r="H30" s="33">
        <v>0</v>
      </c>
      <c r="I30" s="35">
        <v>0</v>
      </c>
      <c r="J30" s="38">
        <v>0</v>
      </c>
      <c r="K30" s="35">
        <v>0</v>
      </c>
      <c r="L30" s="35">
        <v>0</v>
      </c>
      <c r="M30" s="38">
        <v>0</v>
      </c>
      <c r="N30" s="39">
        <v>0</v>
      </c>
      <c r="O30" s="35">
        <v>0</v>
      </c>
      <c r="P30" s="38">
        <v>0</v>
      </c>
      <c r="Q30" s="39">
        <v>0</v>
      </c>
      <c r="R30" s="36">
        <v>0</v>
      </c>
      <c r="S30" s="38">
        <v>0</v>
      </c>
      <c r="T30" s="39">
        <v>0</v>
      </c>
      <c r="U30" s="35">
        <v>0</v>
      </c>
      <c r="V30" s="38">
        <v>0</v>
      </c>
      <c r="W30" s="48">
        <v>0</v>
      </c>
      <c r="X30" s="35">
        <v>0</v>
      </c>
      <c r="Y30" s="38">
        <v>0</v>
      </c>
      <c r="Z30" s="39">
        <v>0</v>
      </c>
      <c r="AA30" s="35">
        <v>0</v>
      </c>
      <c r="AB30" s="38">
        <v>0</v>
      </c>
      <c r="AC30" s="96">
        <v>0</v>
      </c>
      <c r="AD30" s="35">
        <v>0</v>
      </c>
      <c r="AE30" s="38">
        <v>0</v>
      </c>
      <c r="AF30" s="39">
        <v>0</v>
      </c>
      <c r="AG30" s="35">
        <v>0</v>
      </c>
      <c r="AH30" s="38">
        <v>0</v>
      </c>
      <c r="AI30" s="39">
        <v>0</v>
      </c>
      <c r="AJ30" s="35">
        <v>0</v>
      </c>
      <c r="AK30" s="38">
        <v>0</v>
      </c>
      <c r="AL30" s="39">
        <v>0</v>
      </c>
      <c r="AM30" s="35">
        <v>0</v>
      </c>
      <c r="AN30" s="93">
        <v>0</v>
      </c>
      <c r="AO30" s="39">
        <v>0</v>
      </c>
      <c r="AP30" s="39">
        <v>0</v>
      </c>
      <c r="AQ30" s="23"/>
      <c r="AR30" s="10"/>
      <c r="AS30" s="62" t="s">
        <v>40</v>
      </c>
      <c r="AT30" s="63">
        <v>0</v>
      </c>
      <c r="AU30" s="59">
        <f t="shared" si="3"/>
        <v>0</v>
      </c>
      <c r="AV30" s="64">
        <v>0</v>
      </c>
      <c r="AW30" s="61">
        <f t="shared" si="4"/>
        <v>0</v>
      </c>
      <c r="AX30" s="154"/>
      <c r="AY30" s="21" t="s">
        <v>24</v>
      </c>
    </row>
    <row r="31" spans="1:51" ht="26.25" customHeight="1" x14ac:dyDescent="0.25">
      <c r="A31" s="169"/>
      <c r="B31" s="155"/>
      <c r="C31" s="18" t="s">
        <v>25</v>
      </c>
      <c r="D31" s="52">
        <f t="shared" si="20"/>
        <v>0</v>
      </c>
      <c r="E31" s="51">
        <f t="shared" si="1"/>
        <v>0</v>
      </c>
      <c r="F31" s="33">
        <v>0</v>
      </c>
      <c r="G31" s="38">
        <v>0</v>
      </c>
      <c r="H31" s="33">
        <v>0</v>
      </c>
      <c r="I31" s="35">
        <v>0</v>
      </c>
      <c r="J31" s="38">
        <v>0</v>
      </c>
      <c r="K31" s="35">
        <v>0</v>
      </c>
      <c r="L31" s="35">
        <v>0</v>
      </c>
      <c r="M31" s="38">
        <v>0</v>
      </c>
      <c r="N31" s="39">
        <v>0</v>
      </c>
      <c r="O31" s="35">
        <v>0</v>
      </c>
      <c r="P31" s="38">
        <v>0</v>
      </c>
      <c r="Q31" s="39">
        <v>0</v>
      </c>
      <c r="R31" s="36">
        <v>0</v>
      </c>
      <c r="S31" s="38">
        <v>0</v>
      </c>
      <c r="T31" s="39">
        <v>0</v>
      </c>
      <c r="U31" s="35">
        <v>0</v>
      </c>
      <c r="V31" s="38">
        <v>0</v>
      </c>
      <c r="W31" s="48">
        <v>0</v>
      </c>
      <c r="X31" s="35">
        <v>0</v>
      </c>
      <c r="Y31" s="38">
        <v>0</v>
      </c>
      <c r="Z31" s="39">
        <v>0</v>
      </c>
      <c r="AA31" s="35">
        <v>0</v>
      </c>
      <c r="AB31" s="93">
        <v>0</v>
      </c>
      <c r="AC31" s="39">
        <v>0</v>
      </c>
      <c r="AD31" s="35">
        <v>0</v>
      </c>
      <c r="AE31" s="38">
        <v>0</v>
      </c>
      <c r="AF31" s="39">
        <v>0</v>
      </c>
      <c r="AG31" s="35">
        <v>0</v>
      </c>
      <c r="AH31" s="38">
        <v>0</v>
      </c>
      <c r="AI31" s="39">
        <v>0</v>
      </c>
      <c r="AJ31" s="35">
        <v>0</v>
      </c>
      <c r="AK31" s="38">
        <v>0</v>
      </c>
      <c r="AL31" s="39">
        <v>0</v>
      </c>
      <c r="AM31" s="35">
        <v>0</v>
      </c>
      <c r="AN31" s="38">
        <v>0</v>
      </c>
      <c r="AO31" s="39">
        <v>0</v>
      </c>
      <c r="AP31" s="39">
        <v>0</v>
      </c>
      <c r="AQ31" s="23"/>
      <c r="AR31" s="10"/>
      <c r="AS31" s="57" t="s">
        <v>41</v>
      </c>
      <c r="AT31" s="64">
        <v>0</v>
      </c>
      <c r="AU31" s="59">
        <f t="shared" si="3"/>
        <v>0</v>
      </c>
      <c r="AV31" s="64">
        <v>0</v>
      </c>
      <c r="AW31" s="61">
        <f t="shared" si="4"/>
        <v>0</v>
      </c>
      <c r="AX31" s="155"/>
      <c r="AY31" s="18" t="s">
        <v>25</v>
      </c>
    </row>
    <row r="32" spans="1:51" ht="15.75" x14ac:dyDescent="0.25">
      <c r="A32" s="3"/>
      <c r="B32" s="124"/>
      <c r="C32" s="123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7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7"/>
      <c r="AO32" s="27"/>
      <c r="AP32" s="28"/>
      <c r="AQ32" s="28"/>
      <c r="AR32" s="3"/>
      <c r="AS32" s="55"/>
      <c r="AT32" s="55"/>
      <c r="AU32" s="55"/>
      <c r="AV32" s="55"/>
      <c r="AW32" s="65"/>
      <c r="AX32" s="3"/>
      <c r="AY32" s="3"/>
    </row>
    <row r="33" spans="1:51" ht="15.75" x14ac:dyDescent="0.25">
      <c r="A33" s="3"/>
      <c r="B33" s="170" t="s">
        <v>44</v>
      </c>
      <c r="C33" s="170"/>
      <c r="D33" s="170"/>
      <c r="E33" s="170"/>
      <c r="F33" s="170"/>
      <c r="G33" s="170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7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7"/>
      <c r="AO33" s="27"/>
      <c r="AP33" s="28"/>
      <c r="AQ33" s="28"/>
      <c r="AR33" s="3"/>
      <c r="AS33" s="55"/>
      <c r="AT33" s="55"/>
      <c r="AU33" s="55"/>
      <c r="AV33" s="55"/>
      <c r="AW33" s="65"/>
      <c r="AX33" s="3"/>
      <c r="AY33" s="3"/>
    </row>
    <row r="34" spans="1:51" ht="32.25" customHeight="1" x14ac:dyDescent="0.25">
      <c r="A34" s="3"/>
      <c r="B34" s="166" t="s">
        <v>42</v>
      </c>
      <c r="C34" s="166"/>
      <c r="D34" s="166"/>
      <c r="E34" s="166"/>
      <c r="F34" s="166"/>
      <c r="G34" s="166"/>
      <c r="H34" s="166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7"/>
      <c r="AP34" s="28"/>
      <c r="AQ34" s="28"/>
      <c r="AR34" s="3"/>
      <c r="AS34" s="55"/>
      <c r="AT34" s="55"/>
      <c r="AU34" s="55"/>
      <c r="AV34" s="55"/>
      <c r="AW34" s="65"/>
      <c r="AX34" s="3"/>
      <c r="AY34" s="3"/>
    </row>
    <row r="35" spans="1:51" x14ac:dyDescent="0.25">
      <c r="B35" t="s">
        <v>45</v>
      </c>
      <c r="G35" s="45"/>
      <c r="M35" s="45"/>
    </row>
  </sheetData>
  <mergeCells count="44">
    <mergeCell ref="B34:H34"/>
    <mergeCell ref="A22:A26"/>
    <mergeCell ref="B22:B26"/>
    <mergeCell ref="AX22:AX26"/>
    <mergeCell ref="A27:A31"/>
    <mergeCell ref="B27:B31"/>
    <mergeCell ref="AX27:AX31"/>
    <mergeCell ref="B33:G33"/>
    <mergeCell ref="A17:A21"/>
    <mergeCell ref="B17:B21"/>
    <mergeCell ref="AX17:AX21"/>
    <mergeCell ref="AK10:AM10"/>
    <mergeCell ref="AN10:AP10"/>
    <mergeCell ref="AT10:AT11"/>
    <mergeCell ref="AU10:AU11"/>
    <mergeCell ref="AV10:AV11"/>
    <mergeCell ref="AW10:AW11"/>
    <mergeCell ref="S10:U10"/>
    <mergeCell ref="V10:X10"/>
    <mergeCell ref="AX10:AX11"/>
    <mergeCell ref="AE10:AG10"/>
    <mergeCell ref="AH10:AJ10"/>
    <mergeCell ref="AY10:AY11"/>
    <mergeCell ref="A12:A16"/>
    <mergeCell ref="B12:B16"/>
    <mergeCell ref="AX12:AX16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Y10:AA10"/>
    <mergeCell ref="AB10:AD10"/>
    <mergeCell ref="E6:Y6"/>
    <mergeCell ref="D1:O1"/>
    <mergeCell ref="AL1:AP1"/>
    <mergeCell ref="Z2:AP2"/>
    <mergeCell ref="AL3:AP3"/>
    <mergeCell ref="E5:Y5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68" fitToWidth="0" orientation="landscape" r:id="rId1"/>
  <colBreaks count="2" manualBreakCount="2">
    <brk id="21" max="1048575" man="1"/>
    <brk id="42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5"/>
  <sheetViews>
    <sheetView view="pageBreakPreview" zoomScale="70" zoomScaleNormal="100" zoomScaleSheetLayoutView="70" workbookViewId="0">
      <selection activeCell="N34" sqref="N34"/>
    </sheetView>
  </sheetViews>
  <sheetFormatPr defaultRowHeight="15" x14ac:dyDescent="0.25"/>
  <cols>
    <col min="1" max="1" width="4.5703125" customWidth="1"/>
    <col min="2" max="2" width="27.28515625" customWidth="1"/>
    <col min="3" max="3" width="9.28515625" customWidth="1"/>
    <col min="4" max="4" width="10.28515625" customWidth="1"/>
    <col min="5" max="5" width="10" customWidth="1"/>
    <col min="6" max="6" width="8.28515625" customWidth="1"/>
    <col min="7" max="7" width="8.42578125" customWidth="1"/>
    <col min="8" max="9" width="8" customWidth="1"/>
    <col min="10" max="11" width="8.42578125" customWidth="1"/>
    <col min="12" max="12" width="8.140625" customWidth="1"/>
    <col min="13" max="13" width="8.28515625" customWidth="1"/>
    <col min="14" max="14" width="8.5703125" style="32" customWidth="1"/>
    <col min="15" max="15" width="8.7109375" customWidth="1"/>
    <col min="16" max="17" width="9.28515625" style="32" customWidth="1"/>
    <col min="18" max="18" width="8" style="32" customWidth="1"/>
    <col min="19" max="19" width="9.28515625" customWidth="1"/>
    <col min="20" max="20" width="9.28515625" style="32" customWidth="1"/>
    <col min="21" max="21" width="10.140625" customWidth="1"/>
    <col min="22" max="22" width="10.85546875" customWidth="1"/>
    <col min="23" max="23" width="8.7109375" customWidth="1"/>
    <col min="24" max="24" width="8" customWidth="1"/>
    <col min="25" max="25" width="9.28515625" customWidth="1"/>
    <col min="26" max="26" width="8.28515625" customWidth="1"/>
    <col min="27" max="28" width="8.42578125" customWidth="1"/>
    <col min="29" max="29" width="9.28515625" customWidth="1"/>
    <col min="30" max="30" width="8.140625" customWidth="1"/>
    <col min="31" max="31" width="11.28515625" customWidth="1"/>
    <col min="32" max="32" width="7.28515625" customWidth="1"/>
    <col min="33" max="33" width="8.140625" customWidth="1"/>
    <col min="34" max="34" width="10.5703125" customWidth="1"/>
    <col min="35" max="35" width="10.42578125" customWidth="1"/>
    <col min="36" max="36" width="5.7109375" customWidth="1"/>
    <col min="37" max="37" width="9.42578125" customWidth="1"/>
    <col min="38" max="38" width="10.28515625" customWidth="1"/>
    <col min="39" max="39" width="8.5703125" customWidth="1"/>
    <col min="40" max="40" width="8.140625" customWidth="1"/>
    <col min="41" max="42" width="4.5703125" customWidth="1"/>
    <col min="43" max="43" width="2.7109375" customWidth="1"/>
  </cols>
  <sheetData>
    <row r="1" spans="1:43" x14ac:dyDescent="0.25">
      <c r="A1" s="4"/>
      <c r="B1" s="97"/>
      <c r="C1" s="98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101"/>
      <c r="Q1" s="101"/>
      <c r="R1" s="8"/>
      <c r="S1" s="8"/>
      <c r="T1" s="8"/>
      <c r="U1" s="8"/>
      <c r="V1" s="8"/>
      <c r="W1" s="9"/>
      <c r="X1" s="8"/>
      <c r="Y1" s="8"/>
      <c r="Z1" s="127"/>
      <c r="AA1" s="127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243" t="s">
        <v>97</v>
      </c>
      <c r="AM1" s="243"/>
      <c r="AN1" s="243"/>
      <c r="AO1" s="243"/>
      <c r="AP1" s="243"/>
      <c r="AQ1" s="4"/>
    </row>
    <row r="2" spans="1:43" x14ac:dyDescent="0.25">
      <c r="A2" s="4"/>
      <c r="B2" s="97"/>
      <c r="C2" s="98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01"/>
      <c r="Q2" s="101"/>
      <c r="R2" s="8"/>
      <c r="S2" s="8"/>
      <c r="T2" s="8"/>
      <c r="U2" s="8"/>
      <c r="V2" s="8"/>
      <c r="W2" s="9"/>
      <c r="X2" s="8"/>
      <c r="Y2" s="8"/>
      <c r="Z2" s="245" t="s">
        <v>50</v>
      </c>
      <c r="AA2" s="245"/>
      <c r="AB2" s="245"/>
      <c r="AC2" s="245"/>
      <c r="AD2" s="245"/>
      <c r="AE2" s="245"/>
      <c r="AF2" s="245"/>
      <c r="AG2" s="245"/>
      <c r="AH2" s="245"/>
      <c r="AI2" s="245"/>
      <c r="AJ2" s="245"/>
      <c r="AK2" s="245"/>
      <c r="AL2" s="245"/>
      <c r="AM2" s="245"/>
      <c r="AN2" s="245"/>
      <c r="AO2" s="245"/>
      <c r="AP2" s="245"/>
      <c r="AQ2" s="4"/>
    </row>
    <row r="3" spans="1:43" x14ac:dyDescent="0.25">
      <c r="A3" s="4"/>
      <c r="B3" s="97"/>
      <c r="C3" s="98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01"/>
      <c r="Q3" s="101"/>
      <c r="R3" s="8"/>
      <c r="S3" s="8"/>
      <c r="T3" s="8"/>
      <c r="U3" s="8"/>
      <c r="V3" s="8"/>
      <c r="W3" s="9"/>
      <c r="X3" s="8"/>
      <c r="Y3" s="8"/>
      <c r="Z3" s="127"/>
      <c r="AA3" s="127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243" t="s">
        <v>51</v>
      </c>
      <c r="AM3" s="192"/>
      <c r="AN3" s="192"/>
      <c r="AO3" s="192"/>
      <c r="AP3" s="192"/>
      <c r="AQ3" s="4"/>
    </row>
    <row r="4" spans="1:43" x14ac:dyDescent="0.25">
      <c r="A4" s="4"/>
      <c r="B4" s="97"/>
      <c r="C4" s="98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01"/>
      <c r="Q4" s="101"/>
      <c r="R4" s="8"/>
      <c r="S4" s="8"/>
      <c r="T4" s="8"/>
      <c r="U4" s="8"/>
      <c r="V4" s="8"/>
      <c r="W4" s="9"/>
      <c r="X4" s="8"/>
      <c r="Y4" s="8"/>
      <c r="Z4" s="9"/>
      <c r="AA4" s="9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4"/>
      <c r="AQ4" s="4"/>
    </row>
    <row r="5" spans="1:43" ht="15.75" x14ac:dyDescent="0.25">
      <c r="A5" s="4"/>
      <c r="B5" s="97"/>
      <c r="C5" s="98"/>
      <c r="D5" s="125"/>
      <c r="E5" s="226" t="s">
        <v>46</v>
      </c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9"/>
      <c r="AA5" s="9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4"/>
      <c r="AQ5" s="4"/>
    </row>
    <row r="6" spans="1:43" ht="15.75" x14ac:dyDescent="0.25">
      <c r="A6" s="4"/>
      <c r="B6" s="97"/>
      <c r="C6" s="98"/>
      <c r="D6" s="125"/>
      <c r="E6" s="226" t="s">
        <v>47</v>
      </c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9"/>
      <c r="AA6" s="9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4"/>
      <c r="AQ6" s="4"/>
    </row>
    <row r="7" spans="1:43" ht="15.75" x14ac:dyDescent="0.25">
      <c r="A7" s="4"/>
      <c r="B7" s="97"/>
      <c r="C7" s="98"/>
      <c r="D7" s="125"/>
      <c r="E7" s="226" t="s">
        <v>96</v>
      </c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9"/>
      <c r="AA7" s="9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4"/>
      <c r="AQ7" s="4"/>
    </row>
    <row r="8" spans="1:43" hidden="1" x14ac:dyDescent="0.25">
      <c r="A8" s="4"/>
      <c r="B8" s="97"/>
      <c r="C8" s="98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01"/>
      <c r="Q8" s="101"/>
      <c r="R8" s="8"/>
      <c r="S8" s="8"/>
      <c r="T8" s="8"/>
      <c r="U8" s="8"/>
      <c r="V8" s="8"/>
      <c r="W8" s="9"/>
      <c r="X8" s="8"/>
      <c r="Y8" s="8"/>
      <c r="Z8" s="9"/>
      <c r="AA8" s="9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4"/>
      <c r="AQ8" s="4"/>
    </row>
    <row r="9" spans="1:43" x14ac:dyDescent="0.25">
      <c r="A9" s="4"/>
      <c r="B9" s="97"/>
      <c r="C9" s="98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7"/>
      <c r="Q9" s="7"/>
      <c r="R9" s="8"/>
      <c r="S9" s="8"/>
      <c r="T9" s="8"/>
      <c r="U9" s="8"/>
      <c r="V9" s="8"/>
      <c r="W9" s="9"/>
      <c r="X9" s="8"/>
      <c r="Y9" s="8"/>
      <c r="Z9" s="9"/>
      <c r="AA9" s="9"/>
      <c r="AB9" s="8"/>
      <c r="AC9" s="8"/>
      <c r="AD9" s="8"/>
      <c r="AE9" s="8"/>
      <c r="AF9" s="8"/>
      <c r="AG9" s="8"/>
      <c r="AH9" s="8"/>
      <c r="AI9" s="8"/>
      <c r="AJ9" s="8"/>
      <c r="AK9" s="8"/>
      <c r="AL9" s="218" t="s">
        <v>52</v>
      </c>
      <c r="AM9" s="219"/>
      <c r="AN9" s="219"/>
      <c r="AO9" s="219"/>
      <c r="AP9" s="219"/>
      <c r="AQ9" s="4"/>
    </row>
    <row r="10" spans="1:43" ht="15" customHeight="1" x14ac:dyDescent="0.25">
      <c r="A10" s="164" t="s">
        <v>0</v>
      </c>
      <c r="B10" s="164" t="s">
        <v>1</v>
      </c>
      <c r="C10" s="148" t="s">
        <v>2</v>
      </c>
      <c r="D10" s="183" t="s">
        <v>43</v>
      </c>
      <c r="E10" s="184"/>
      <c r="F10" s="185"/>
      <c r="G10" s="186" t="s">
        <v>3</v>
      </c>
      <c r="H10" s="187"/>
      <c r="I10" s="188"/>
      <c r="J10" s="186" t="s">
        <v>4</v>
      </c>
      <c r="K10" s="187"/>
      <c r="L10" s="188"/>
      <c r="M10" s="177" t="s">
        <v>5</v>
      </c>
      <c r="N10" s="178"/>
      <c r="O10" s="179"/>
      <c r="P10" s="177" t="s">
        <v>6</v>
      </c>
      <c r="Q10" s="178"/>
      <c r="R10" s="179"/>
      <c r="S10" s="175" t="s">
        <v>7</v>
      </c>
      <c r="T10" s="175"/>
      <c r="U10" s="175"/>
      <c r="V10" s="180" t="s">
        <v>8</v>
      </c>
      <c r="W10" s="180"/>
      <c r="X10" s="180"/>
      <c r="Y10" s="175" t="s">
        <v>9</v>
      </c>
      <c r="Z10" s="175"/>
      <c r="AA10" s="175"/>
      <c r="AB10" s="181" t="s">
        <v>10</v>
      </c>
      <c r="AC10" s="181"/>
      <c r="AD10" s="181"/>
      <c r="AE10" s="181" t="s">
        <v>11</v>
      </c>
      <c r="AF10" s="181"/>
      <c r="AG10" s="181"/>
      <c r="AH10" s="174" t="s">
        <v>12</v>
      </c>
      <c r="AI10" s="174"/>
      <c r="AJ10" s="174"/>
      <c r="AK10" s="175" t="s">
        <v>13</v>
      </c>
      <c r="AL10" s="175"/>
      <c r="AM10" s="175"/>
      <c r="AN10" s="176" t="s">
        <v>14</v>
      </c>
      <c r="AO10" s="176"/>
      <c r="AP10" s="176"/>
      <c r="AQ10" s="10"/>
    </row>
    <row r="11" spans="1:43" ht="25.5" x14ac:dyDescent="0.25">
      <c r="A11" s="165"/>
      <c r="B11" s="165"/>
      <c r="C11" s="149"/>
      <c r="D11" s="11" t="s">
        <v>15</v>
      </c>
      <c r="E11" s="11" t="s">
        <v>16</v>
      </c>
      <c r="F11" s="12" t="s">
        <v>17</v>
      </c>
      <c r="G11" s="13" t="s">
        <v>18</v>
      </c>
      <c r="H11" s="122" t="s">
        <v>19</v>
      </c>
      <c r="I11" s="14" t="s">
        <v>17</v>
      </c>
      <c r="J11" s="13" t="s">
        <v>18</v>
      </c>
      <c r="K11" s="122" t="s">
        <v>19</v>
      </c>
      <c r="L11" s="14" t="s">
        <v>17</v>
      </c>
      <c r="M11" s="13" t="s">
        <v>18</v>
      </c>
      <c r="N11" s="121" t="s">
        <v>19</v>
      </c>
      <c r="O11" s="14" t="s">
        <v>17</v>
      </c>
      <c r="P11" s="13" t="s">
        <v>18</v>
      </c>
      <c r="Q11" s="121" t="s">
        <v>19</v>
      </c>
      <c r="R11" s="121" t="s">
        <v>17</v>
      </c>
      <c r="S11" s="13" t="s">
        <v>18</v>
      </c>
      <c r="T11" s="121" t="s">
        <v>19</v>
      </c>
      <c r="U11" s="14" t="s">
        <v>17</v>
      </c>
      <c r="V11" s="13" t="s">
        <v>18</v>
      </c>
      <c r="W11" s="121" t="s">
        <v>19</v>
      </c>
      <c r="X11" s="14" t="s">
        <v>17</v>
      </c>
      <c r="Y11" s="13" t="s">
        <v>18</v>
      </c>
      <c r="Z11" s="121" t="s">
        <v>19</v>
      </c>
      <c r="AA11" s="122" t="s">
        <v>17</v>
      </c>
      <c r="AB11" s="13" t="s">
        <v>18</v>
      </c>
      <c r="AC11" s="121" t="s">
        <v>19</v>
      </c>
      <c r="AD11" s="14" t="s">
        <v>17</v>
      </c>
      <c r="AE11" s="13" t="s">
        <v>18</v>
      </c>
      <c r="AF11" s="121" t="s">
        <v>19</v>
      </c>
      <c r="AG11" s="14" t="s">
        <v>17</v>
      </c>
      <c r="AH11" s="13" t="s">
        <v>18</v>
      </c>
      <c r="AI11" s="121" t="s">
        <v>19</v>
      </c>
      <c r="AJ11" s="14" t="s">
        <v>17</v>
      </c>
      <c r="AK11" s="13" t="s">
        <v>18</v>
      </c>
      <c r="AL11" s="121" t="s">
        <v>19</v>
      </c>
      <c r="AM11" s="14" t="s">
        <v>17</v>
      </c>
      <c r="AN11" s="15" t="s">
        <v>18</v>
      </c>
      <c r="AO11" s="121" t="s">
        <v>19</v>
      </c>
      <c r="AP11" s="16" t="s">
        <v>17</v>
      </c>
      <c r="AQ11" s="10"/>
    </row>
    <row r="12" spans="1:43" ht="28.5" customHeight="1" x14ac:dyDescent="0.25">
      <c r="A12" s="171"/>
      <c r="B12" s="150" t="s">
        <v>98</v>
      </c>
      <c r="C12" s="18" t="s">
        <v>21</v>
      </c>
      <c r="D12" s="49">
        <f>G12+J12+M12+P12+S12+V12+Y12+AB12+AE12+AH12+AK12+AN12</f>
        <v>432014.22</v>
      </c>
      <c r="E12" s="49">
        <f>H12+K12+N12+Q12+T12+W12+Z12+AC12+AF12+AI12+AL12+AO12</f>
        <v>116758.82999999999</v>
      </c>
      <c r="F12" s="33">
        <f>E12/D12*100</f>
        <v>27.026617318291052</v>
      </c>
      <c r="G12" s="34">
        <f>G17+G22+G27</f>
        <v>13280.8</v>
      </c>
      <c r="H12" s="35">
        <f t="shared" ref="H12:AP15" si="0">H17+H22+H27</f>
        <v>19047.900000000001</v>
      </c>
      <c r="I12" s="34">
        <f>H12/G12*100</f>
        <v>143.42434190711404</v>
      </c>
      <c r="J12" s="34">
        <f t="shared" si="0"/>
        <v>32912.5</v>
      </c>
      <c r="K12" s="35">
        <f t="shared" si="0"/>
        <v>21862.16</v>
      </c>
      <c r="L12" s="34">
        <f>K12/J12*100</f>
        <v>66.425096847702235</v>
      </c>
      <c r="M12" s="34">
        <f t="shared" si="0"/>
        <v>36868.1</v>
      </c>
      <c r="N12" s="36">
        <f t="shared" si="0"/>
        <v>31351.95</v>
      </c>
      <c r="O12" s="34">
        <f t="shared" si="0"/>
        <v>195.46194409354513</v>
      </c>
      <c r="P12" s="34">
        <f t="shared" si="0"/>
        <v>36206.519999999997</v>
      </c>
      <c r="Q12" s="36">
        <f t="shared" si="0"/>
        <v>44496.82</v>
      </c>
      <c r="R12" s="36">
        <f t="shared" si="0"/>
        <v>185.60477317288604</v>
      </c>
      <c r="S12" s="34">
        <f t="shared" si="0"/>
        <v>47381.159999999996</v>
      </c>
      <c r="T12" s="36">
        <f t="shared" si="0"/>
        <v>0</v>
      </c>
      <c r="U12" s="34">
        <f t="shared" si="0"/>
        <v>0</v>
      </c>
      <c r="V12" s="34">
        <f t="shared" si="0"/>
        <v>49692.78</v>
      </c>
      <c r="W12" s="46">
        <f>W13+W14+W15+W16</f>
        <v>0</v>
      </c>
      <c r="X12" s="34">
        <f t="shared" si="0"/>
        <v>0</v>
      </c>
      <c r="Y12" s="34">
        <f t="shared" si="0"/>
        <v>41733.19000000001</v>
      </c>
      <c r="Z12" s="34">
        <f t="shared" si="0"/>
        <v>0</v>
      </c>
      <c r="AA12" s="34">
        <f t="shared" si="0"/>
        <v>0</v>
      </c>
      <c r="AB12" s="34">
        <f t="shared" si="0"/>
        <v>40807.890000000007</v>
      </c>
      <c r="AC12" s="34">
        <f t="shared" si="0"/>
        <v>0</v>
      </c>
      <c r="AD12" s="34">
        <f t="shared" si="0"/>
        <v>0</v>
      </c>
      <c r="AE12" s="34">
        <f t="shared" si="0"/>
        <v>35981.29</v>
      </c>
      <c r="AF12" s="34">
        <f t="shared" si="0"/>
        <v>0</v>
      </c>
      <c r="AG12" s="34">
        <f t="shared" si="0"/>
        <v>0</v>
      </c>
      <c r="AH12" s="34">
        <f t="shared" si="0"/>
        <v>32913.589999999997</v>
      </c>
      <c r="AI12" s="34">
        <f t="shared" si="0"/>
        <v>0</v>
      </c>
      <c r="AJ12" s="34">
        <f t="shared" si="0"/>
        <v>0</v>
      </c>
      <c r="AK12" s="34">
        <f t="shared" si="0"/>
        <v>33887.879999999997</v>
      </c>
      <c r="AL12" s="34">
        <f t="shared" si="0"/>
        <v>0</v>
      </c>
      <c r="AM12" s="34">
        <f t="shared" si="0"/>
        <v>0</v>
      </c>
      <c r="AN12" s="34">
        <f t="shared" si="0"/>
        <v>30348.52</v>
      </c>
      <c r="AO12" s="34">
        <f t="shared" si="0"/>
        <v>0</v>
      </c>
      <c r="AP12" s="34">
        <f t="shared" si="0"/>
        <v>0</v>
      </c>
      <c r="AQ12" s="19"/>
    </row>
    <row r="13" spans="1:43" ht="39" customHeight="1" x14ac:dyDescent="0.25">
      <c r="A13" s="172"/>
      <c r="B13" s="151"/>
      <c r="C13" s="21" t="s">
        <v>22</v>
      </c>
      <c r="D13" s="51">
        <f>G13+J13+M13+P13+S13+V13+Y13+AB13+AE13+AH13+AK13+AN13</f>
        <v>417297.10000000003</v>
      </c>
      <c r="E13" s="51">
        <f t="shared" ref="E13:E31" si="1">H13+K13+N13+Q13+T13+W13+Z13+AC13+AF13+AI13+AL13+AO13</f>
        <v>116758.82999999999</v>
      </c>
      <c r="F13" s="33">
        <f t="shared" ref="F13:F29" si="2">E13/D13*100</f>
        <v>27.979784666608033</v>
      </c>
      <c r="G13" s="34">
        <f>G18+G23+G28</f>
        <v>13280.8</v>
      </c>
      <c r="H13" s="35">
        <f t="shared" si="0"/>
        <v>19047.900000000001</v>
      </c>
      <c r="I13" s="34">
        <f>H13/G13*100</f>
        <v>143.42434190711404</v>
      </c>
      <c r="J13" s="34">
        <f t="shared" si="0"/>
        <v>32912.5</v>
      </c>
      <c r="K13" s="35">
        <f t="shared" si="0"/>
        <v>21862.16</v>
      </c>
      <c r="L13" s="34">
        <f t="shared" si="0"/>
        <v>2.2336227308603003</v>
      </c>
      <c r="M13" s="34">
        <f t="shared" si="0"/>
        <v>36815.800000000003</v>
      </c>
      <c r="N13" s="36">
        <f>N18+N23+N28</f>
        <v>31351.95</v>
      </c>
      <c r="O13" s="34">
        <v>0</v>
      </c>
      <c r="P13" s="34">
        <f t="shared" si="0"/>
        <v>34719.099999999991</v>
      </c>
      <c r="Q13" s="36">
        <f t="shared" si="0"/>
        <v>44496.82</v>
      </c>
      <c r="R13" s="36">
        <f t="shared" si="0"/>
        <v>281.39948044811138</v>
      </c>
      <c r="S13" s="34">
        <f t="shared" si="0"/>
        <v>44288.929999999993</v>
      </c>
      <c r="T13" s="36">
        <f t="shared" si="0"/>
        <v>0</v>
      </c>
      <c r="U13" s="34">
        <f t="shared" si="0"/>
        <v>0</v>
      </c>
      <c r="V13" s="34">
        <f t="shared" si="0"/>
        <v>48249.35</v>
      </c>
      <c r="W13" s="46">
        <f t="shared" si="0"/>
        <v>0</v>
      </c>
      <c r="X13" s="34">
        <f t="shared" si="0"/>
        <v>0</v>
      </c>
      <c r="Y13" s="34">
        <f t="shared" si="0"/>
        <v>40338.160000000003</v>
      </c>
      <c r="Z13" s="34">
        <f t="shared" si="0"/>
        <v>0</v>
      </c>
      <c r="AA13" s="34">
        <f t="shared" si="0"/>
        <v>0</v>
      </c>
      <c r="AB13" s="34">
        <f t="shared" si="0"/>
        <v>39353.360000000001</v>
      </c>
      <c r="AC13" s="34">
        <f t="shared" si="0"/>
        <v>0</v>
      </c>
      <c r="AD13" s="34">
        <f t="shared" si="0"/>
        <v>0</v>
      </c>
      <c r="AE13" s="34">
        <f t="shared" si="0"/>
        <v>34451.96</v>
      </c>
      <c r="AF13" s="34">
        <f t="shared" si="0"/>
        <v>0</v>
      </c>
      <c r="AG13" s="34">
        <f t="shared" si="0"/>
        <v>0</v>
      </c>
      <c r="AH13" s="34">
        <f t="shared" si="0"/>
        <v>31471.759999999998</v>
      </c>
      <c r="AI13" s="34">
        <f t="shared" si="0"/>
        <v>0</v>
      </c>
      <c r="AJ13" s="34">
        <f t="shared" si="0"/>
        <v>0</v>
      </c>
      <c r="AK13" s="34">
        <f t="shared" si="0"/>
        <v>32461.86</v>
      </c>
      <c r="AL13" s="34">
        <f t="shared" si="0"/>
        <v>0</v>
      </c>
      <c r="AM13" s="34">
        <f t="shared" si="0"/>
        <v>0</v>
      </c>
      <c r="AN13" s="34">
        <f t="shared" si="0"/>
        <v>28953.52</v>
      </c>
      <c r="AO13" s="34">
        <f t="shared" si="0"/>
        <v>0</v>
      </c>
      <c r="AP13" s="89">
        <v>0</v>
      </c>
      <c r="AQ13" s="22"/>
    </row>
    <row r="14" spans="1:43" ht="26.25" customHeight="1" x14ac:dyDescent="0.25">
      <c r="A14" s="172"/>
      <c r="B14" s="151"/>
      <c r="C14" s="21" t="s">
        <v>23</v>
      </c>
      <c r="D14" s="51">
        <f t="shared" ref="D14:D26" si="3">G14+J14+M14+P14+S14+V14+Y14+AB14+AE14+AH14+AK14+AN14</f>
        <v>9266.84</v>
      </c>
      <c r="E14" s="51">
        <f>H14+K14+N14+Q14+T14+W14+Z14+AC14+AF14+AI14+AL14+AO14</f>
        <v>0</v>
      </c>
      <c r="F14" s="33">
        <f t="shared" si="2"/>
        <v>0</v>
      </c>
      <c r="G14" s="34">
        <f>G19+G24+G29</f>
        <v>0</v>
      </c>
      <c r="H14" s="35">
        <f>H19+H29</f>
        <v>0</v>
      </c>
      <c r="I14" s="35" t="e">
        <f>H14/G14*100</f>
        <v>#DIV/0!</v>
      </c>
      <c r="J14" s="34">
        <f>J19+J24+J29</f>
        <v>0</v>
      </c>
      <c r="K14" s="35">
        <f>K19+K24+K29</f>
        <v>0</v>
      </c>
      <c r="L14" s="35" t="e">
        <f t="shared" ref="L14:L29" si="4">K14/J14*100</f>
        <v>#DIV/0!</v>
      </c>
      <c r="M14" s="34">
        <f>M19+M24+M29</f>
        <v>52.3</v>
      </c>
      <c r="N14" s="36">
        <f>N19+N24+N29</f>
        <v>0</v>
      </c>
      <c r="O14" s="35">
        <f t="shared" ref="O14:O29" si="5">N14/M14*100</f>
        <v>0</v>
      </c>
      <c r="P14" s="34">
        <f t="shared" si="0"/>
        <v>881.84</v>
      </c>
      <c r="Q14" s="36">
        <f>Q19+Q24+Q29</f>
        <v>0</v>
      </c>
      <c r="R14" s="36">
        <f t="shared" ref="R14:R29" si="6">Q14/P14*100</f>
        <v>0</v>
      </c>
      <c r="S14" s="37">
        <f t="shared" si="0"/>
        <v>2486.6400000000003</v>
      </c>
      <c r="T14" s="36">
        <f>T19+T24+T29</f>
        <v>0</v>
      </c>
      <c r="U14" s="35">
        <f t="shared" ref="U14:U29" si="7">T14/S14*100</f>
        <v>0</v>
      </c>
      <c r="V14" s="37">
        <f t="shared" si="0"/>
        <v>837.84</v>
      </c>
      <c r="W14" s="47">
        <f>W19+W24+W29</f>
        <v>0</v>
      </c>
      <c r="X14" s="35">
        <f t="shared" ref="X14:X29" si="8">W14/V14*100</f>
        <v>0</v>
      </c>
      <c r="Y14" s="37">
        <f t="shared" si="0"/>
        <v>789.44</v>
      </c>
      <c r="Z14" s="36">
        <f>Z19+Z24+Z29</f>
        <v>0</v>
      </c>
      <c r="AA14" s="35">
        <f t="shared" ref="AA14:AA29" si="9">Z14/Y14*100</f>
        <v>0</v>
      </c>
      <c r="AB14" s="37">
        <f t="shared" si="0"/>
        <v>848.94</v>
      </c>
      <c r="AC14" s="36">
        <f>AC19+AC24+AC29</f>
        <v>0</v>
      </c>
      <c r="AD14" s="35">
        <f t="shared" ref="AD14:AD29" si="10">AC14/AB14*100</f>
        <v>0</v>
      </c>
      <c r="AE14" s="37">
        <f t="shared" si="0"/>
        <v>923.74</v>
      </c>
      <c r="AF14" s="36">
        <f>AF19+AF24+AF29</f>
        <v>0</v>
      </c>
      <c r="AG14" s="35">
        <f t="shared" ref="AG14:AG29" si="11">AF14/AE14*100</f>
        <v>0</v>
      </c>
      <c r="AH14" s="37">
        <f t="shared" si="0"/>
        <v>836.24</v>
      </c>
      <c r="AI14" s="36">
        <f>AI19+AI24+AI29</f>
        <v>0</v>
      </c>
      <c r="AJ14" s="35">
        <f t="shared" ref="AJ14:AJ27" si="12">AI14/AH14*100</f>
        <v>0</v>
      </c>
      <c r="AK14" s="37">
        <f t="shared" si="0"/>
        <v>820.43</v>
      </c>
      <c r="AL14" s="36">
        <v>0</v>
      </c>
      <c r="AM14" s="35">
        <f t="shared" ref="AM14:AM29" si="13">AL14/AK14*100</f>
        <v>0</v>
      </c>
      <c r="AN14" s="90">
        <f t="shared" si="0"/>
        <v>789.43</v>
      </c>
      <c r="AO14" s="36">
        <v>0</v>
      </c>
      <c r="AP14" s="91">
        <v>0</v>
      </c>
      <c r="AQ14" s="23"/>
    </row>
    <row r="15" spans="1:43" ht="26.25" customHeight="1" x14ac:dyDescent="0.25">
      <c r="A15" s="172"/>
      <c r="B15" s="151"/>
      <c r="C15" s="21" t="s">
        <v>24</v>
      </c>
      <c r="D15" s="51">
        <f>G15+J15+M15+P15+S15+V15+Y15+AB15+AE15+AH15+AK15+AN15</f>
        <v>5450.2800000000007</v>
      </c>
      <c r="E15" s="51">
        <f t="shared" si="1"/>
        <v>0</v>
      </c>
      <c r="F15" s="33">
        <v>0</v>
      </c>
      <c r="G15" s="34">
        <f t="shared" ref="G15" si="14">G20+G25+G30</f>
        <v>0</v>
      </c>
      <c r="H15" s="35">
        <f>H20+H25+H30</f>
        <v>0</v>
      </c>
      <c r="I15" s="35">
        <v>0</v>
      </c>
      <c r="J15" s="34">
        <f t="shared" ref="J15" si="15">J20+J25+J30</f>
        <v>0</v>
      </c>
      <c r="K15" s="35">
        <v>0</v>
      </c>
      <c r="L15" s="35">
        <v>0</v>
      </c>
      <c r="M15" s="34">
        <f>M20+M25+M30</f>
        <v>0</v>
      </c>
      <c r="N15" s="36">
        <f>N20+N25+N30</f>
        <v>0</v>
      </c>
      <c r="O15" s="35">
        <v>0</v>
      </c>
      <c r="P15" s="34">
        <f t="shared" si="0"/>
        <v>605.58000000000004</v>
      </c>
      <c r="Q15" s="36">
        <f>Q20+Q24+Q30</f>
        <v>0</v>
      </c>
      <c r="R15" s="36">
        <v>0</v>
      </c>
      <c r="S15" s="34">
        <f t="shared" si="0"/>
        <v>605.59</v>
      </c>
      <c r="T15" s="36">
        <v>0</v>
      </c>
      <c r="U15" s="35">
        <v>0</v>
      </c>
      <c r="V15" s="34">
        <f t="shared" si="0"/>
        <v>605.59</v>
      </c>
      <c r="W15" s="47">
        <v>0</v>
      </c>
      <c r="X15" s="35">
        <v>0</v>
      </c>
      <c r="Y15" s="34">
        <f>Y20</f>
        <v>605.59</v>
      </c>
      <c r="Z15" s="36">
        <v>0</v>
      </c>
      <c r="AA15" s="35">
        <v>0</v>
      </c>
      <c r="AB15" s="34">
        <f>AB20</f>
        <v>605.59</v>
      </c>
      <c r="AC15" s="36">
        <v>0</v>
      </c>
      <c r="AD15" s="35">
        <v>0</v>
      </c>
      <c r="AE15" s="34">
        <f t="shared" si="0"/>
        <v>605.59</v>
      </c>
      <c r="AF15" s="36">
        <v>0</v>
      </c>
      <c r="AG15" s="35">
        <v>0</v>
      </c>
      <c r="AH15" s="34">
        <f t="shared" si="0"/>
        <v>605.59</v>
      </c>
      <c r="AI15" s="36">
        <v>0</v>
      </c>
      <c r="AJ15" s="35">
        <v>0</v>
      </c>
      <c r="AK15" s="34">
        <f t="shared" si="0"/>
        <v>605.59</v>
      </c>
      <c r="AL15" s="36">
        <v>0</v>
      </c>
      <c r="AM15" s="35">
        <v>0</v>
      </c>
      <c r="AN15" s="92">
        <f t="shared" si="0"/>
        <v>605.57000000000005</v>
      </c>
      <c r="AO15" s="36">
        <v>0</v>
      </c>
      <c r="AP15" s="91">
        <v>0</v>
      </c>
      <c r="AQ15" s="23"/>
    </row>
    <row r="16" spans="1:43" ht="26.25" customHeight="1" x14ac:dyDescent="0.25">
      <c r="A16" s="173"/>
      <c r="B16" s="152"/>
      <c r="C16" s="18" t="s">
        <v>25</v>
      </c>
      <c r="D16" s="51">
        <f t="shared" si="3"/>
        <v>0</v>
      </c>
      <c r="E16" s="51">
        <f t="shared" si="1"/>
        <v>0</v>
      </c>
      <c r="F16" s="33">
        <v>0</v>
      </c>
      <c r="G16" s="38">
        <v>0</v>
      </c>
      <c r="H16" s="33">
        <f>H21+H26+H31</f>
        <v>0</v>
      </c>
      <c r="I16" s="35">
        <v>0</v>
      </c>
      <c r="J16" s="38">
        <v>0</v>
      </c>
      <c r="K16" s="35">
        <v>0</v>
      </c>
      <c r="L16" s="35">
        <v>0</v>
      </c>
      <c r="M16" s="38">
        <v>0</v>
      </c>
      <c r="N16" s="39">
        <f>N21+N26+N31</f>
        <v>0</v>
      </c>
      <c r="O16" s="35">
        <v>0</v>
      </c>
      <c r="P16" s="38">
        <v>0</v>
      </c>
      <c r="Q16" s="39">
        <v>0</v>
      </c>
      <c r="R16" s="36">
        <v>0</v>
      </c>
      <c r="S16" s="38">
        <v>0</v>
      </c>
      <c r="T16" s="39">
        <v>0</v>
      </c>
      <c r="U16" s="35">
        <v>0</v>
      </c>
      <c r="V16" s="38">
        <v>0</v>
      </c>
      <c r="W16" s="48">
        <v>0</v>
      </c>
      <c r="X16" s="35">
        <v>0</v>
      </c>
      <c r="Y16" s="38">
        <v>0</v>
      </c>
      <c r="Z16" s="39">
        <v>0</v>
      </c>
      <c r="AA16" s="35">
        <v>0</v>
      </c>
      <c r="AB16" s="38">
        <v>0</v>
      </c>
      <c r="AC16" s="39">
        <v>0</v>
      </c>
      <c r="AD16" s="35">
        <v>0</v>
      </c>
      <c r="AE16" s="38">
        <v>0</v>
      </c>
      <c r="AF16" s="33">
        <v>0</v>
      </c>
      <c r="AG16" s="35">
        <v>0</v>
      </c>
      <c r="AH16" s="38">
        <v>0</v>
      </c>
      <c r="AI16" s="39">
        <v>0</v>
      </c>
      <c r="AJ16" s="35">
        <v>0</v>
      </c>
      <c r="AK16" s="38">
        <v>0</v>
      </c>
      <c r="AL16" s="39">
        <v>0</v>
      </c>
      <c r="AM16" s="35">
        <v>0</v>
      </c>
      <c r="AN16" s="93">
        <v>0</v>
      </c>
      <c r="AO16" s="39">
        <v>0</v>
      </c>
      <c r="AP16" s="39">
        <v>0</v>
      </c>
      <c r="AQ16" s="23"/>
    </row>
    <row r="17" spans="1:43" ht="39" customHeight="1" x14ac:dyDescent="0.25">
      <c r="A17" s="167" t="s">
        <v>26</v>
      </c>
      <c r="B17" s="153" t="s">
        <v>27</v>
      </c>
      <c r="C17" s="18" t="s">
        <v>21</v>
      </c>
      <c r="D17" s="49">
        <f>G17+J17+M17+P17+S17+V17+Y17+AB17+AE17+AH17+AK17+AN17</f>
        <v>21253.420000000006</v>
      </c>
      <c r="E17" s="49">
        <f t="shared" si="1"/>
        <v>69.649999999999991</v>
      </c>
      <c r="F17" s="40">
        <f t="shared" ref="F17:O17" si="16">F18+F19+F20</f>
        <v>1.0655875648302555</v>
      </c>
      <c r="G17" s="40">
        <f t="shared" si="16"/>
        <v>0</v>
      </c>
      <c r="H17" s="40">
        <f t="shared" si="16"/>
        <v>0</v>
      </c>
      <c r="I17" s="40" t="e">
        <f t="shared" si="16"/>
        <v>#DIV/0!</v>
      </c>
      <c r="J17" s="40">
        <f t="shared" si="16"/>
        <v>126.7</v>
      </c>
      <c r="K17" s="40">
        <f t="shared" si="16"/>
        <v>2.83</v>
      </c>
      <c r="L17" s="40" t="e">
        <f t="shared" si="16"/>
        <v>#DIV/0!</v>
      </c>
      <c r="M17" s="40">
        <f t="shared" si="16"/>
        <v>175.2</v>
      </c>
      <c r="N17" s="40">
        <f t="shared" si="16"/>
        <v>48.19</v>
      </c>
      <c r="O17" s="40">
        <f t="shared" si="16"/>
        <v>39.21074043938161</v>
      </c>
      <c r="P17" s="40">
        <f>P18+P19+P20+P21</f>
        <v>1506.6200000000001</v>
      </c>
      <c r="Q17" s="40">
        <f>Q18+Q19+Q20+Q21</f>
        <v>18.63</v>
      </c>
      <c r="R17" s="41">
        <f t="shared" si="6"/>
        <v>1.236542724774661</v>
      </c>
      <c r="S17" s="40">
        <f>S18+S20+S19</f>
        <v>4912.380000000001</v>
      </c>
      <c r="T17" s="40">
        <f>T18+T19+T20</f>
        <v>0</v>
      </c>
      <c r="U17" s="41">
        <f t="shared" si="7"/>
        <v>0</v>
      </c>
      <c r="V17" s="40">
        <f>V18+V19+V20</f>
        <v>3340.48</v>
      </c>
      <c r="W17" s="49">
        <f>W18+W19+W21+W20</f>
        <v>0</v>
      </c>
      <c r="X17" s="41">
        <f t="shared" si="8"/>
        <v>0</v>
      </c>
      <c r="Y17" s="40">
        <f>Y18+Y19+Y20</f>
        <v>3223.28</v>
      </c>
      <c r="Z17" s="40">
        <f>Z18+Z19</f>
        <v>0</v>
      </c>
      <c r="AA17" s="41">
        <f t="shared" si="9"/>
        <v>0</v>
      </c>
      <c r="AB17" s="40">
        <f>AB18+AB19+AB20</f>
        <v>1995.2800000000002</v>
      </c>
      <c r="AC17" s="40">
        <f>AC18+AC19</f>
        <v>0</v>
      </c>
      <c r="AD17" s="41">
        <f t="shared" si="10"/>
        <v>0</v>
      </c>
      <c r="AE17" s="40">
        <f>AE18+AE19+AE20</f>
        <v>1678.08</v>
      </c>
      <c r="AF17" s="40">
        <f>AF18+AF19</f>
        <v>0</v>
      </c>
      <c r="AG17" s="41">
        <f t="shared" si="11"/>
        <v>0</v>
      </c>
      <c r="AH17" s="40">
        <f>AH18+AH19+AH20</f>
        <v>1456.38</v>
      </c>
      <c r="AI17" s="40">
        <f>AI18+AI19</f>
        <v>0</v>
      </c>
      <c r="AJ17" s="41">
        <f t="shared" si="12"/>
        <v>0</v>
      </c>
      <c r="AK17" s="40">
        <f>AK18+AK19+AK20</f>
        <v>1437.77</v>
      </c>
      <c r="AL17" s="40">
        <f>AL18+AL19</f>
        <v>0</v>
      </c>
      <c r="AM17" s="41">
        <f t="shared" si="13"/>
        <v>0</v>
      </c>
      <c r="AN17" s="40">
        <f>AN18+AN19+AN20</f>
        <v>1401.25</v>
      </c>
      <c r="AO17" s="40">
        <v>0</v>
      </c>
      <c r="AP17" s="40">
        <v>0</v>
      </c>
      <c r="AQ17" s="19"/>
    </row>
    <row r="18" spans="1:43" ht="26.25" customHeight="1" x14ac:dyDescent="0.25">
      <c r="A18" s="168"/>
      <c r="B18" s="154"/>
      <c r="C18" s="21" t="s">
        <v>22</v>
      </c>
      <c r="D18" s="51">
        <f>G18+J18+M18+P18+S18+V18+Y18+AB18+AE18+AH18+AK18+AN18</f>
        <v>6536.3</v>
      </c>
      <c r="E18" s="51">
        <f t="shared" si="1"/>
        <v>69.649999999999991</v>
      </c>
      <c r="F18" s="33">
        <f t="shared" si="2"/>
        <v>1.0655875648302555</v>
      </c>
      <c r="G18" s="38">
        <v>0</v>
      </c>
      <c r="H18" s="33">
        <v>0</v>
      </c>
      <c r="I18" s="35" t="e">
        <f t="shared" ref="I18:I29" si="17">H18/G18*100</f>
        <v>#DIV/0!</v>
      </c>
      <c r="J18" s="38">
        <f>123.7+3</f>
        <v>126.7</v>
      </c>
      <c r="K18" s="35">
        <v>2.83</v>
      </c>
      <c r="L18" s="35">
        <f t="shared" si="4"/>
        <v>2.2336227308603003</v>
      </c>
      <c r="M18" s="38">
        <v>122.9</v>
      </c>
      <c r="N18" s="33">
        <v>48.19</v>
      </c>
      <c r="O18" s="35">
        <f t="shared" si="5"/>
        <v>39.21074043938161</v>
      </c>
      <c r="P18" s="38">
        <v>19.2</v>
      </c>
      <c r="Q18" s="119">
        <v>18.63</v>
      </c>
      <c r="R18" s="36">
        <f t="shared" si="6"/>
        <v>97.03125</v>
      </c>
      <c r="S18" s="38">
        <f>1813.9+6.25</f>
        <v>1820.15</v>
      </c>
      <c r="T18" s="39">
        <v>0</v>
      </c>
      <c r="U18" s="35">
        <f t="shared" si="7"/>
        <v>0</v>
      </c>
      <c r="V18" s="38">
        <f>1890.8+6.25</f>
        <v>1897.05</v>
      </c>
      <c r="W18" s="48">
        <v>0</v>
      </c>
      <c r="X18" s="35">
        <f t="shared" si="8"/>
        <v>0</v>
      </c>
      <c r="Y18" s="38">
        <f>1822+6.25</f>
        <v>1828.25</v>
      </c>
      <c r="Z18" s="39">
        <v>0</v>
      </c>
      <c r="AA18" s="35">
        <f>Z18/Y18*100</f>
        <v>0</v>
      </c>
      <c r="AB18" s="38">
        <f>534.5+6.25</f>
        <v>540.75</v>
      </c>
      <c r="AC18" s="39">
        <v>0</v>
      </c>
      <c r="AD18" s="35">
        <f t="shared" si="10"/>
        <v>0</v>
      </c>
      <c r="AE18" s="38">
        <f>142.5+6.25</f>
        <v>148.75</v>
      </c>
      <c r="AF18" s="39">
        <v>0</v>
      </c>
      <c r="AG18" s="35">
        <v>0</v>
      </c>
      <c r="AH18" s="38">
        <f>8.3+6.25</f>
        <v>14.55</v>
      </c>
      <c r="AI18" s="39">
        <v>0</v>
      </c>
      <c r="AJ18" s="35">
        <v>0</v>
      </c>
      <c r="AK18" s="38">
        <f>5.5+6.25</f>
        <v>11.75</v>
      </c>
      <c r="AL18" s="39">
        <v>0</v>
      </c>
      <c r="AM18" s="35">
        <f t="shared" si="13"/>
        <v>0</v>
      </c>
      <c r="AN18" s="93">
        <v>6.25</v>
      </c>
      <c r="AO18" s="39">
        <v>0</v>
      </c>
      <c r="AP18" s="89">
        <v>0</v>
      </c>
      <c r="AQ18" s="22"/>
    </row>
    <row r="19" spans="1:43" ht="26.25" customHeight="1" x14ac:dyDescent="0.25">
      <c r="A19" s="168"/>
      <c r="B19" s="154"/>
      <c r="C19" s="18" t="s">
        <v>23</v>
      </c>
      <c r="D19" s="51">
        <f>G19+J19+M19+P19+S19+V19+Y19+AB19+AE19+AH19+AK19+AN19</f>
        <v>9266.84</v>
      </c>
      <c r="E19" s="51">
        <f t="shared" si="1"/>
        <v>0</v>
      </c>
      <c r="F19" s="33">
        <f t="shared" si="2"/>
        <v>0</v>
      </c>
      <c r="G19" s="38">
        <v>0</v>
      </c>
      <c r="H19" s="33">
        <v>0</v>
      </c>
      <c r="I19" s="35" t="e">
        <f t="shared" si="17"/>
        <v>#DIV/0!</v>
      </c>
      <c r="J19" s="38">
        <v>0</v>
      </c>
      <c r="K19" s="35">
        <v>0</v>
      </c>
      <c r="L19" s="35" t="e">
        <f>K19/J19*100</f>
        <v>#DIV/0!</v>
      </c>
      <c r="M19" s="38">
        <v>52.3</v>
      </c>
      <c r="N19" s="39">
        <v>0</v>
      </c>
      <c r="O19" s="35">
        <f t="shared" si="5"/>
        <v>0</v>
      </c>
      <c r="P19" s="38">
        <f>117.4+764.44</f>
        <v>881.84</v>
      </c>
      <c r="Q19" s="39">
        <v>0</v>
      </c>
      <c r="R19" s="36">
        <f t="shared" si="6"/>
        <v>0</v>
      </c>
      <c r="S19" s="38">
        <f>1697.2+764.44+25</f>
        <v>2486.6400000000003</v>
      </c>
      <c r="T19" s="39">
        <v>0</v>
      </c>
      <c r="U19" s="35">
        <f t="shared" si="7"/>
        <v>0</v>
      </c>
      <c r="V19" s="38">
        <f>48.4+764.44+25</f>
        <v>837.84</v>
      </c>
      <c r="W19" s="48">
        <v>0</v>
      </c>
      <c r="X19" s="35">
        <f t="shared" si="8"/>
        <v>0</v>
      </c>
      <c r="Y19" s="38">
        <f>764.44+25</f>
        <v>789.44</v>
      </c>
      <c r="Z19" s="39">
        <v>0</v>
      </c>
      <c r="AA19" s="35">
        <f t="shared" si="9"/>
        <v>0</v>
      </c>
      <c r="AB19" s="38">
        <f>59.5+764.44+25</f>
        <v>848.94</v>
      </c>
      <c r="AC19" s="39">
        <v>0</v>
      </c>
      <c r="AD19" s="35">
        <f t="shared" si="10"/>
        <v>0</v>
      </c>
      <c r="AE19" s="38">
        <f>134.3+764.44+25</f>
        <v>923.74</v>
      </c>
      <c r="AF19" s="39">
        <v>0</v>
      </c>
      <c r="AG19" s="35">
        <f t="shared" si="11"/>
        <v>0</v>
      </c>
      <c r="AH19" s="38">
        <f>46.8+764.44+25</f>
        <v>836.24</v>
      </c>
      <c r="AI19" s="39">
        <v>0</v>
      </c>
      <c r="AJ19" s="35">
        <v>0</v>
      </c>
      <c r="AK19" s="38">
        <f>31+764.43+25</f>
        <v>820.43</v>
      </c>
      <c r="AL19" s="39">
        <v>0</v>
      </c>
      <c r="AM19" s="35">
        <v>0</v>
      </c>
      <c r="AN19" s="93">
        <f>764.43+25</f>
        <v>789.43</v>
      </c>
      <c r="AO19" s="39">
        <v>0</v>
      </c>
      <c r="AP19" s="89">
        <v>0</v>
      </c>
      <c r="AQ19" s="23"/>
    </row>
    <row r="20" spans="1:43" ht="26.25" customHeight="1" x14ac:dyDescent="0.25">
      <c r="A20" s="168"/>
      <c r="B20" s="154"/>
      <c r="C20" s="21" t="s">
        <v>24</v>
      </c>
      <c r="D20" s="51">
        <f t="shared" si="3"/>
        <v>5450.2800000000007</v>
      </c>
      <c r="E20" s="51">
        <f t="shared" si="1"/>
        <v>0</v>
      </c>
      <c r="F20" s="33">
        <v>0</v>
      </c>
      <c r="G20" s="38">
        <v>0</v>
      </c>
      <c r="H20" s="33">
        <v>0</v>
      </c>
      <c r="I20" s="35">
        <v>0</v>
      </c>
      <c r="J20" s="38">
        <v>0</v>
      </c>
      <c r="K20" s="35">
        <v>0</v>
      </c>
      <c r="L20" s="35">
        <v>0</v>
      </c>
      <c r="M20" s="38">
        <v>0</v>
      </c>
      <c r="N20" s="39">
        <v>0</v>
      </c>
      <c r="O20" s="35">
        <v>0</v>
      </c>
      <c r="P20" s="38">
        <v>605.58000000000004</v>
      </c>
      <c r="Q20" s="39">
        <v>0</v>
      </c>
      <c r="R20" s="36">
        <v>0</v>
      </c>
      <c r="S20" s="38">
        <v>605.59</v>
      </c>
      <c r="T20" s="39">
        <v>0</v>
      </c>
      <c r="U20" s="35">
        <v>0</v>
      </c>
      <c r="V20" s="38">
        <v>605.59</v>
      </c>
      <c r="W20" s="48">
        <v>0</v>
      </c>
      <c r="X20" s="35">
        <v>0</v>
      </c>
      <c r="Y20" s="38">
        <v>605.59</v>
      </c>
      <c r="Z20" s="39">
        <v>0</v>
      </c>
      <c r="AA20" s="35">
        <v>0</v>
      </c>
      <c r="AB20" s="38">
        <v>605.59</v>
      </c>
      <c r="AC20" s="39">
        <v>0</v>
      </c>
      <c r="AD20" s="35">
        <v>0</v>
      </c>
      <c r="AE20" s="38">
        <v>605.59</v>
      </c>
      <c r="AF20" s="39">
        <v>0</v>
      </c>
      <c r="AG20" s="35">
        <v>0</v>
      </c>
      <c r="AH20" s="38">
        <v>605.59</v>
      </c>
      <c r="AI20" s="39">
        <v>0</v>
      </c>
      <c r="AJ20" s="35">
        <v>0</v>
      </c>
      <c r="AK20" s="38">
        <v>605.59</v>
      </c>
      <c r="AL20" s="39">
        <v>0</v>
      </c>
      <c r="AM20" s="35">
        <v>0</v>
      </c>
      <c r="AN20" s="93">
        <v>605.57000000000005</v>
      </c>
      <c r="AO20" s="39">
        <v>0</v>
      </c>
      <c r="AP20" s="89">
        <v>0</v>
      </c>
      <c r="AQ20" s="23"/>
    </row>
    <row r="21" spans="1:43" ht="26.25" customHeight="1" x14ac:dyDescent="0.25">
      <c r="A21" s="169"/>
      <c r="B21" s="155"/>
      <c r="C21" s="18" t="s">
        <v>25</v>
      </c>
      <c r="D21" s="51">
        <f t="shared" si="3"/>
        <v>0</v>
      </c>
      <c r="E21" s="51">
        <f t="shared" si="1"/>
        <v>0</v>
      </c>
      <c r="F21" s="33">
        <v>0</v>
      </c>
      <c r="G21" s="38">
        <v>0</v>
      </c>
      <c r="H21" s="33">
        <v>0</v>
      </c>
      <c r="I21" s="35">
        <v>0</v>
      </c>
      <c r="J21" s="38">
        <v>0</v>
      </c>
      <c r="K21" s="35">
        <v>0</v>
      </c>
      <c r="L21" s="35">
        <v>0</v>
      </c>
      <c r="M21" s="38">
        <v>0</v>
      </c>
      <c r="N21" s="39">
        <v>0</v>
      </c>
      <c r="O21" s="35">
        <v>0</v>
      </c>
      <c r="P21" s="38">
        <v>0</v>
      </c>
      <c r="Q21" s="39">
        <v>0</v>
      </c>
      <c r="R21" s="36">
        <v>0</v>
      </c>
      <c r="S21" s="38">
        <v>0</v>
      </c>
      <c r="T21" s="39">
        <v>0</v>
      </c>
      <c r="U21" s="35">
        <v>0</v>
      </c>
      <c r="V21" s="38">
        <v>0</v>
      </c>
      <c r="W21" s="48">
        <v>0</v>
      </c>
      <c r="X21" s="35">
        <v>0</v>
      </c>
      <c r="Y21" s="38">
        <v>0</v>
      </c>
      <c r="Z21" s="39">
        <v>0</v>
      </c>
      <c r="AA21" s="35">
        <v>0</v>
      </c>
      <c r="AB21" s="38">
        <v>0</v>
      </c>
      <c r="AC21" s="39">
        <v>0</v>
      </c>
      <c r="AD21" s="35">
        <v>0</v>
      </c>
      <c r="AE21" s="38">
        <v>0</v>
      </c>
      <c r="AF21" s="39">
        <v>0</v>
      </c>
      <c r="AG21" s="35">
        <v>0</v>
      </c>
      <c r="AH21" s="38">
        <v>0</v>
      </c>
      <c r="AI21" s="39">
        <v>0</v>
      </c>
      <c r="AJ21" s="35">
        <v>0</v>
      </c>
      <c r="AK21" s="38">
        <v>0</v>
      </c>
      <c r="AL21" s="39">
        <v>0</v>
      </c>
      <c r="AM21" s="35">
        <v>0</v>
      </c>
      <c r="AN21" s="93">
        <v>0</v>
      </c>
      <c r="AO21" s="39">
        <v>0</v>
      </c>
      <c r="AP21" s="39">
        <v>0</v>
      </c>
      <c r="AQ21" s="23"/>
    </row>
    <row r="22" spans="1:43" ht="37.5" customHeight="1" x14ac:dyDescent="0.25">
      <c r="A22" s="167" t="s">
        <v>30</v>
      </c>
      <c r="B22" s="153" t="s">
        <v>28</v>
      </c>
      <c r="C22" s="18" t="s">
        <v>21</v>
      </c>
      <c r="D22" s="49">
        <f>G22+J22+M22+P22+S22+V22+Y22+AB22+AE22+AH22+AK22+AN22</f>
        <v>5660.0000000000009</v>
      </c>
      <c r="E22" s="49">
        <f t="shared" si="1"/>
        <v>913.89</v>
      </c>
      <c r="F22" s="40">
        <f t="shared" si="2"/>
        <v>16.146466431095405</v>
      </c>
      <c r="G22" s="40">
        <f>G23+G24</f>
        <v>0</v>
      </c>
      <c r="H22" s="40">
        <f>H23+H24+H25+H26</f>
        <v>0</v>
      </c>
      <c r="I22" s="41">
        <v>0</v>
      </c>
      <c r="J22" s="40">
        <f>J23+J24+J25</f>
        <v>150</v>
      </c>
      <c r="K22" s="41">
        <f>K23+K24+K25+K26</f>
        <v>40.53</v>
      </c>
      <c r="L22" s="41">
        <v>0</v>
      </c>
      <c r="M22" s="40">
        <f>M23+M24+M25</f>
        <v>895.4</v>
      </c>
      <c r="N22" s="40">
        <f>N23+N24+N25+N26</f>
        <v>631.88</v>
      </c>
      <c r="O22" s="41">
        <f t="shared" si="5"/>
        <v>70.569577842305122</v>
      </c>
      <c r="P22" s="40">
        <f>P23+P24+P25</f>
        <v>437</v>
      </c>
      <c r="Q22" s="40">
        <f>Q23+Q24+Q25+Q26</f>
        <v>241.48</v>
      </c>
      <c r="R22" s="41">
        <f t="shared" si="6"/>
        <v>55.258581235697932</v>
      </c>
      <c r="S22" s="40">
        <f>S23+S24+S25</f>
        <v>756.48</v>
      </c>
      <c r="T22" s="40">
        <f>T23</f>
        <v>0</v>
      </c>
      <c r="U22" s="41">
        <f t="shared" si="7"/>
        <v>0</v>
      </c>
      <c r="V22" s="40">
        <f>V23+V24+V25</f>
        <v>1251.3800000000001</v>
      </c>
      <c r="W22" s="49">
        <f>W23+W24+W25+W26</f>
        <v>0</v>
      </c>
      <c r="X22" s="41">
        <f t="shared" si="8"/>
        <v>0</v>
      </c>
      <c r="Y22" s="40">
        <f>Y23+Y24+Y25</f>
        <v>454.38</v>
      </c>
      <c r="Z22" s="40">
        <f>Z23</f>
        <v>0</v>
      </c>
      <c r="AA22" s="41">
        <f t="shared" si="9"/>
        <v>0</v>
      </c>
      <c r="AB22" s="40">
        <f>AB23+AB24+AB25</f>
        <v>479.88</v>
      </c>
      <c r="AC22" s="40">
        <f>AC23</f>
        <v>0</v>
      </c>
      <c r="AD22" s="41">
        <f t="shared" si="10"/>
        <v>0</v>
      </c>
      <c r="AE22" s="40">
        <f>AE23+AE24</f>
        <v>372.38</v>
      </c>
      <c r="AF22" s="40">
        <f>AF23+AF24</f>
        <v>0</v>
      </c>
      <c r="AG22" s="41">
        <f t="shared" si="11"/>
        <v>0</v>
      </c>
      <c r="AH22" s="40">
        <f>AH23+AH24</f>
        <v>154.38</v>
      </c>
      <c r="AI22" s="40">
        <f>AI23</f>
        <v>0</v>
      </c>
      <c r="AJ22" s="41">
        <f t="shared" si="12"/>
        <v>0</v>
      </c>
      <c r="AK22" s="40">
        <f>AK23+AK24</f>
        <v>254.38</v>
      </c>
      <c r="AL22" s="40">
        <f>AL23</f>
        <v>0</v>
      </c>
      <c r="AM22" s="41">
        <f t="shared" si="13"/>
        <v>0</v>
      </c>
      <c r="AN22" s="94">
        <f>AN23+AN24</f>
        <v>454.34000000000003</v>
      </c>
      <c r="AO22" s="40">
        <v>0</v>
      </c>
      <c r="AP22" s="40">
        <v>0</v>
      </c>
      <c r="AQ22" s="19"/>
    </row>
    <row r="23" spans="1:43" ht="26.25" customHeight="1" x14ac:dyDescent="0.25">
      <c r="A23" s="168"/>
      <c r="B23" s="154"/>
      <c r="C23" s="18" t="s">
        <v>22</v>
      </c>
      <c r="D23" s="51">
        <f>G23+J23+M23+P23+S23+V23+Y23+AB23+AE23+AH23+AK23+AN23</f>
        <v>5660.0000000000009</v>
      </c>
      <c r="E23" s="51">
        <f t="shared" si="1"/>
        <v>913.89</v>
      </c>
      <c r="F23" s="33">
        <f t="shared" si="2"/>
        <v>16.146466431095405</v>
      </c>
      <c r="G23" s="38">
        <v>0</v>
      </c>
      <c r="H23" s="33">
        <v>0</v>
      </c>
      <c r="I23" s="35"/>
      <c r="J23" s="38">
        <v>150</v>
      </c>
      <c r="K23" s="35">
        <v>40.53</v>
      </c>
      <c r="L23" s="35">
        <v>0</v>
      </c>
      <c r="M23" s="38">
        <v>895.4</v>
      </c>
      <c r="N23" s="33">
        <v>631.88</v>
      </c>
      <c r="O23" s="35">
        <v>0</v>
      </c>
      <c r="P23" s="38">
        <v>437</v>
      </c>
      <c r="Q23" s="119">
        <v>241.48</v>
      </c>
      <c r="R23" s="36">
        <f t="shared" si="6"/>
        <v>55.258581235697932</v>
      </c>
      <c r="S23" s="38">
        <f>702.1+54.38</f>
        <v>756.48</v>
      </c>
      <c r="T23" s="39">
        <v>0</v>
      </c>
      <c r="U23" s="35">
        <f t="shared" si="7"/>
        <v>0</v>
      </c>
      <c r="V23" s="38">
        <f>1197+54.38</f>
        <v>1251.3800000000001</v>
      </c>
      <c r="W23" s="48">
        <v>0</v>
      </c>
      <c r="X23" s="35">
        <f t="shared" si="8"/>
        <v>0</v>
      </c>
      <c r="Y23" s="38">
        <f>400+54.38</f>
        <v>454.38</v>
      </c>
      <c r="Z23" s="39">
        <v>0</v>
      </c>
      <c r="AA23" s="35">
        <v>0</v>
      </c>
      <c r="AB23" s="38">
        <f>425.5+54.38</f>
        <v>479.88</v>
      </c>
      <c r="AC23" s="39">
        <v>0</v>
      </c>
      <c r="AD23" s="35">
        <f t="shared" si="10"/>
        <v>0</v>
      </c>
      <c r="AE23" s="38">
        <f>318+54.38</f>
        <v>372.38</v>
      </c>
      <c r="AF23" s="39">
        <v>0</v>
      </c>
      <c r="AG23" s="35">
        <f t="shared" si="11"/>
        <v>0</v>
      </c>
      <c r="AH23" s="38">
        <f>100+54.38</f>
        <v>154.38</v>
      </c>
      <c r="AI23" s="39">
        <v>0</v>
      </c>
      <c r="AJ23" s="35">
        <f t="shared" si="12"/>
        <v>0</v>
      </c>
      <c r="AK23" s="38">
        <f>200+54.38</f>
        <v>254.38</v>
      </c>
      <c r="AL23" s="39">
        <v>0</v>
      </c>
      <c r="AM23" s="35">
        <f t="shared" si="13"/>
        <v>0</v>
      </c>
      <c r="AN23" s="93">
        <f>400+54.34</f>
        <v>454.34000000000003</v>
      </c>
      <c r="AO23" s="39">
        <v>0</v>
      </c>
      <c r="AP23" s="89">
        <v>0</v>
      </c>
      <c r="AQ23" s="22"/>
    </row>
    <row r="24" spans="1:43" ht="26.25" customHeight="1" x14ac:dyDescent="0.25">
      <c r="A24" s="168"/>
      <c r="B24" s="154"/>
      <c r="C24" s="21" t="s">
        <v>23</v>
      </c>
      <c r="D24" s="51">
        <f>G24+J24+M24+P24+S24+V24+Y24+AB24+AE24+AH24+AK24+AN24</f>
        <v>0</v>
      </c>
      <c r="E24" s="51">
        <f t="shared" si="1"/>
        <v>0</v>
      </c>
      <c r="F24" s="33">
        <v>0</v>
      </c>
      <c r="G24" s="38">
        <v>0</v>
      </c>
      <c r="H24" s="33">
        <v>0</v>
      </c>
      <c r="I24" s="35">
        <v>0</v>
      </c>
      <c r="J24" s="38">
        <v>0</v>
      </c>
      <c r="K24" s="35">
        <v>0</v>
      </c>
      <c r="L24" s="35">
        <v>0</v>
      </c>
      <c r="M24" s="38">
        <v>0</v>
      </c>
      <c r="N24" s="39">
        <v>0</v>
      </c>
      <c r="O24" s="35">
        <v>0</v>
      </c>
      <c r="P24" s="38">
        <v>0</v>
      </c>
      <c r="Q24" s="39">
        <v>0</v>
      </c>
      <c r="R24" s="36">
        <v>0</v>
      </c>
      <c r="S24" s="38">
        <v>0</v>
      </c>
      <c r="T24" s="39">
        <v>0</v>
      </c>
      <c r="U24" s="35">
        <v>0</v>
      </c>
      <c r="V24" s="38">
        <v>0</v>
      </c>
      <c r="W24" s="48">
        <v>0</v>
      </c>
      <c r="X24" s="35">
        <v>0</v>
      </c>
      <c r="Y24" s="38">
        <v>0</v>
      </c>
      <c r="Z24" s="39">
        <v>0</v>
      </c>
      <c r="AA24" s="35">
        <v>0</v>
      </c>
      <c r="AB24" s="38">
        <v>0</v>
      </c>
      <c r="AC24" s="39">
        <v>0</v>
      </c>
      <c r="AD24" s="35">
        <v>0</v>
      </c>
      <c r="AE24" s="38">
        <v>0</v>
      </c>
      <c r="AF24" s="39">
        <v>0</v>
      </c>
      <c r="AG24" s="35">
        <v>0</v>
      </c>
      <c r="AH24" s="38">
        <v>0</v>
      </c>
      <c r="AI24" s="39">
        <v>0</v>
      </c>
      <c r="AJ24" s="35">
        <v>0</v>
      </c>
      <c r="AK24" s="38">
        <v>0</v>
      </c>
      <c r="AL24" s="39">
        <v>0</v>
      </c>
      <c r="AM24" s="35">
        <v>0</v>
      </c>
      <c r="AN24" s="93">
        <v>0</v>
      </c>
      <c r="AO24" s="39">
        <v>0</v>
      </c>
      <c r="AP24" s="89">
        <v>0</v>
      </c>
      <c r="AQ24" s="23"/>
    </row>
    <row r="25" spans="1:43" ht="26.25" customHeight="1" x14ac:dyDescent="0.25">
      <c r="A25" s="168"/>
      <c r="B25" s="154"/>
      <c r="C25" s="21" t="s">
        <v>24</v>
      </c>
      <c r="D25" s="51">
        <f t="shared" si="3"/>
        <v>0</v>
      </c>
      <c r="E25" s="51">
        <f t="shared" si="1"/>
        <v>0</v>
      </c>
      <c r="F25" s="33">
        <v>0</v>
      </c>
      <c r="G25" s="38">
        <v>0</v>
      </c>
      <c r="H25" s="33">
        <v>0</v>
      </c>
      <c r="I25" s="35">
        <v>0</v>
      </c>
      <c r="J25" s="38">
        <v>0</v>
      </c>
      <c r="K25" s="35">
        <v>0</v>
      </c>
      <c r="L25" s="35">
        <v>0</v>
      </c>
      <c r="M25" s="38">
        <v>0</v>
      </c>
      <c r="N25" s="39">
        <v>0</v>
      </c>
      <c r="O25" s="35">
        <v>0</v>
      </c>
      <c r="P25" s="38">
        <v>0</v>
      </c>
      <c r="Q25" s="39">
        <v>0</v>
      </c>
      <c r="R25" s="36">
        <v>0</v>
      </c>
      <c r="S25" s="38">
        <v>0</v>
      </c>
      <c r="T25" s="39">
        <v>0</v>
      </c>
      <c r="U25" s="35">
        <v>0</v>
      </c>
      <c r="V25" s="38">
        <v>0</v>
      </c>
      <c r="W25" s="48">
        <v>0</v>
      </c>
      <c r="X25" s="35">
        <v>0</v>
      </c>
      <c r="Y25" s="38">
        <v>0</v>
      </c>
      <c r="Z25" s="39">
        <v>0</v>
      </c>
      <c r="AA25" s="35">
        <v>0</v>
      </c>
      <c r="AB25" s="38">
        <v>0</v>
      </c>
      <c r="AC25" s="39">
        <v>0</v>
      </c>
      <c r="AD25" s="35">
        <v>0</v>
      </c>
      <c r="AE25" s="38">
        <v>0</v>
      </c>
      <c r="AF25" s="39">
        <v>0</v>
      </c>
      <c r="AG25" s="35">
        <v>0</v>
      </c>
      <c r="AH25" s="38">
        <v>0</v>
      </c>
      <c r="AI25" s="39">
        <v>0</v>
      </c>
      <c r="AJ25" s="35">
        <v>0</v>
      </c>
      <c r="AK25" s="38">
        <v>0</v>
      </c>
      <c r="AL25" s="39">
        <v>0</v>
      </c>
      <c r="AM25" s="35">
        <v>0</v>
      </c>
      <c r="AN25" s="93">
        <v>0</v>
      </c>
      <c r="AO25" s="39">
        <v>0</v>
      </c>
      <c r="AP25" s="39">
        <v>0</v>
      </c>
      <c r="AQ25" s="23"/>
    </row>
    <row r="26" spans="1:43" ht="26.25" customHeight="1" x14ac:dyDescent="0.25">
      <c r="A26" s="169"/>
      <c r="B26" s="155"/>
      <c r="C26" s="18" t="s">
        <v>25</v>
      </c>
      <c r="D26" s="51">
        <f t="shared" si="3"/>
        <v>0</v>
      </c>
      <c r="E26" s="51">
        <f t="shared" si="1"/>
        <v>0</v>
      </c>
      <c r="F26" s="33">
        <v>0</v>
      </c>
      <c r="G26" s="38">
        <v>0</v>
      </c>
      <c r="H26" s="33">
        <v>0</v>
      </c>
      <c r="I26" s="35">
        <v>0</v>
      </c>
      <c r="J26" s="38">
        <v>0</v>
      </c>
      <c r="K26" s="35">
        <v>0</v>
      </c>
      <c r="L26" s="35">
        <v>0</v>
      </c>
      <c r="M26" s="38">
        <v>0</v>
      </c>
      <c r="N26" s="39">
        <v>0</v>
      </c>
      <c r="O26" s="35">
        <v>0</v>
      </c>
      <c r="P26" s="38">
        <v>0</v>
      </c>
      <c r="Q26" s="39">
        <v>0</v>
      </c>
      <c r="R26" s="36">
        <v>0</v>
      </c>
      <c r="S26" s="38">
        <v>0</v>
      </c>
      <c r="T26" s="39">
        <v>0</v>
      </c>
      <c r="U26" s="35">
        <v>0</v>
      </c>
      <c r="V26" s="38">
        <v>0</v>
      </c>
      <c r="W26" s="48">
        <v>0</v>
      </c>
      <c r="X26" s="35">
        <v>0</v>
      </c>
      <c r="Y26" s="38">
        <v>0</v>
      </c>
      <c r="Z26" s="39">
        <v>0</v>
      </c>
      <c r="AA26" s="35">
        <v>0</v>
      </c>
      <c r="AB26" s="38">
        <v>0</v>
      </c>
      <c r="AC26" s="39">
        <v>0</v>
      </c>
      <c r="AD26" s="35">
        <v>0</v>
      </c>
      <c r="AE26" s="38">
        <v>0</v>
      </c>
      <c r="AF26" s="39">
        <v>0</v>
      </c>
      <c r="AG26" s="35">
        <v>0</v>
      </c>
      <c r="AH26" s="38">
        <v>0</v>
      </c>
      <c r="AI26" s="39">
        <v>0</v>
      </c>
      <c r="AJ26" s="35">
        <v>0</v>
      </c>
      <c r="AK26" s="38">
        <v>0</v>
      </c>
      <c r="AL26" s="39">
        <v>0</v>
      </c>
      <c r="AM26" s="35">
        <v>0</v>
      </c>
      <c r="AN26" s="93">
        <v>0</v>
      </c>
      <c r="AO26" s="39">
        <v>0</v>
      </c>
      <c r="AP26" s="39">
        <v>0</v>
      </c>
      <c r="AQ26" s="23"/>
    </row>
    <row r="27" spans="1:43" ht="39" customHeight="1" x14ac:dyDescent="0.25">
      <c r="A27" s="167" t="s">
        <v>31</v>
      </c>
      <c r="B27" s="153" t="s">
        <v>29</v>
      </c>
      <c r="C27" s="24" t="s">
        <v>21</v>
      </c>
      <c r="D27" s="50">
        <f>G27+J27+M27+P27+S27+V27+Y27+AB27+AE27+AH27+AK27+AN27</f>
        <v>405100.79999999999</v>
      </c>
      <c r="E27" s="49">
        <f t="shared" si="1"/>
        <v>115775.29000000001</v>
      </c>
      <c r="F27" s="40">
        <f t="shared" si="2"/>
        <v>28.579378268322358</v>
      </c>
      <c r="G27" s="42">
        <f>G28+G29</f>
        <v>13280.8</v>
      </c>
      <c r="H27" s="42">
        <f>H28+H29+H30+H31</f>
        <v>19047.900000000001</v>
      </c>
      <c r="I27" s="41">
        <f t="shared" si="17"/>
        <v>143.42434190711404</v>
      </c>
      <c r="J27" s="42">
        <f>J28+J29</f>
        <v>32635.8</v>
      </c>
      <c r="K27" s="41">
        <f>K28+K29+K30+K31</f>
        <v>21818.799999999999</v>
      </c>
      <c r="L27" s="41">
        <f t="shared" si="4"/>
        <v>66.855416444517985</v>
      </c>
      <c r="M27" s="42">
        <f>M28+M29</f>
        <v>35797.5</v>
      </c>
      <c r="N27" s="42">
        <f>N28+N29+N30+N31</f>
        <v>30671.88</v>
      </c>
      <c r="O27" s="41">
        <f t="shared" si="5"/>
        <v>85.681625811858382</v>
      </c>
      <c r="P27" s="42">
        <f>P28+P29</f>
        <v>34262.899999999994</v>
      </c>
      <c r="Q27" s="42">
        <f>Q28+Q29+Q30</f>
        <v>44236.71</v>
      </c>
      <c r="R27" s="41">
        <f t="shared" si="6"/>
        <v>129.10964921241344</v>
      </c>
      <c r="S27" s="42">
        <f>S28+S29</f>
        <v>41712.299999999996</v>
      </c>
      <c r="T27" s="42">
        <f>T28+T29+T30+T31</f>
        <v>0</v>
      </c>
      <c r="U27" s="41">
        <f t="shared" si="7"/>
        <v>0</v>
      </c>
      <c r="V27" s="42">
        <f>V28+V29</f>
        <v>45100.92</v>
      </c>
      <c r="W27" s="50">
        <f>W28+W29+W30+W31</f>
        <v>0</v>
      </c>
      <c r="X27" s="41">
        <f t="shared" si="8"/>
        <v>0</v>
      </c>
      <c r="Y27" s="42">
        <f>Y28+Y29</f>
        <v>38055.530000000006</v>
      </c>
      <c r="Z27" s="42">
        <f>Z28+Z29</f>
        <v>0</v>
      </c>
      <c r="AA27" s="41">
        <f t="shared" si="9"/>
        <v>0</v>
      </c>
      <c r="AB27" s="42">
        <f>AB28+AB29</f>
        <v>38332.730000000003</v>
      </c>
      <c r="AC27" s="40">
        <f>AC28+AC29</f>
        <v>0</v>
      </c>
      <c r="AD27" s="41">
        <f t="shared" si="10"/>
        <v>0</v>
      </c>
      <c r="AE27" s="42">
        <f>AE28+AE29</f>
        <v>33930.83</v>
      </c>
      <c r="AF27" s="42">
        <f>AF28+AF29</f>
        <v>0</v>
      </c>
      <c r="AG27" s="41">
        <f t="shared" si="11"/>
        <v>0</v>
      </c>
      <c r="AH27" s="42">
        <f>AH28+AH29</f>
        <v>31302.829999999998</v>
      </c>
      <c r="AI27" s="42">
        <f>AI28+AI29</f>
        <v>0</v>
      </c>
      <c r="AJ27" s="41">
        <f t="shared" si="12"/>
        <v>0</v>
      </c>
      <c r="AK27" s="42">
        <f>AK28+AK29</f>
        <v>32195.73</v>
      </c>
      <c r="AL27" s="42">
        <f>AL28+AL29</f>
        <v>0</v>
      </c>
      <c r="AM27" s="41">
        <f t="shared" si="13"/>
        <v>0</v>
      </c>
      <c r="AN27" s="95">
        <f>AN28+AN29</f>
        <v>28492.93</v>
      </c>
      <c r="AO27" s="42">
        <v>0</v>
      </c>
      <c r="AP27" s="42">
        <v>0</v>
      </c>
      <c r="AQ27" s="19"/>
    </row>
    <row r="28" spans="1:43" ht="26.25" customHeight="1" x14ac:dyDescent="0.25">
      <c r="A28" s="168"/>
      <c r="B28" s="154"/>
      <c r="C28" s="18" t="s">
        <v>22</v>
      </c>
      <c r="D28" s="52">
        <f>G28+J28+M28+P28+S28+V28+Y28+AB28+AE28+AH28+AK28+AN28</f>
        <v>405100.79999999999</v>
      </c>
      <c r="E28" s="51">
        <f>H28+K28+N28+Q28+T28+W28+Z28+AC28+AF28+AI28+AL28+AO28</f>
        <v>115775.29000000001</v>
      </c>
      <c r="F28" s="33">
        <v>0</v>
      </c>
      <c r="G28" s="38">
        <v>13280.8</v>
      </c>
      <c r="H28" s="33">
        <v>19047.900000000001</v>
      </c>
      <c r="I28" s="35">
        <f>H28/G28*100</f>
        <v>143.42434190711404</v>
      </c>
      <c r="J28" s="38">
        <f>32638.8-3</f>
        <v>32635.8</v>
      </c>
      <c r="K28" s="35">
        <v>21818.799999999999</v>
      </c>
      <c r="L28" s="35">
        <v>0</v>
      </c>
      <c r="M28" s="38">
        <v>35797.5</v>
      </c>
      <c r="N28" s="33">
        <v>30671.88</v>
      </c>
      <c r="O28" s="35">
        <v>0</v>
      </c>
      <c r="P28" s="38">
        <f>33901.7+361.2</f>
        <v>34262.899999999994</v>
      </c>
      <c r="Q28" s="119">
        <v>44236.71</v>
      </c>
      <c r="R28" s="36">
        <f t="shared" si="6"/>
        <v>129.10964921241344</v>
      </c>
      <c r="S28" s="38">
        <f>41351.1+361.2</f>
        <v>41712.299999999996</v>
      </c>
      <c r="T28" s="39">
        <v>0</v>
      </c>
      <c r="U28" s="35">
        <f t="shared" si="7"/>
        <v>0</v>
      </c>
      <c r="V28" s="38">
        <f>44739.7+361.22</f>
        <v>45100.92</v>
      </c>
      <c r="W28" s="48">
        <v>0</v>
      </c>
      <c r="X28" s="35">
        <v>0</v>
      </c>
      <c r="Y28" s="38">
        <f>37694.3+361.23</f>
        <v>38055.530000000006</v>
      </c>
      <c r="Z28" s="39">
        <v>0</v>
      </c>
      <c r="AA28" s="35">
        <f t="shared" si="9"/>
        <v>0</v>
      </c>
      <c r="AB28" s="38">
        <f>37971.5+361.23</f>
        <v>38332.730000000003</v>
      </c>
      <c r="AC28" s="39">
        <v>0</v>
      </c>
      <c r="AD28" s="35">
        <v>0</v>
      </c>
      <c r="AE28" s="38">
        <f>33569.6+361.23</f>
        <v>33930.83</v>
      </c>
      <c r="AF28" s="39">
        <v>0</v>
      </c>
      <c r="AG28" s="35">
        <v>0</v>
      </c>
      <c r="AH28" s="38">
        <f>30941.6+361.23</f>
        <v>31302.829999999998</v>
      </c>
      <c r="AI28" s="39">
        <v>0</v>
      </c>
      <c r="AJ28" s="35">
        <v>0</v>
      </c>
      <c r="AK28" s="38">
        <f>31834.5+361.23</f>
        <v>32195.73</v>
      </c>
      <c r="AL28" s="39">
        <v>0</v>
      </c>
      <c r="AM28" s="35">
        <v>0</v>
      </c>
      <c r="AN28" s="93">
        <f>28131.7+361.23</f>
        <v>28492.93</v>
      </c>
      <c r="AO28" s="39">
        <v>0</v>
      </c>
      <c r="AP28" s="89">
        <v>0</v>
      </c>
      <c r="AQ28" s="22"/>
    </row>
    <row r="29" spans="1:43" ht="26.25" customHeight="1" x14ac:dyDescent="0.25">
      <c r="A29" s="168"/>
      <c r="B29" s="154"/>
      <c r="C29" s="21" t="s">
        <v>23</v>
      </c>
      <c r="D29" s="52">
        <f>G29+J29+M29+P29+S29+V29+Y29+AB29+AE29+AH29+AK29+AN29</f>
        <v>0</v>
      </c>
      <c r="E29" s="51">
        <f t="shared" si="1"/>
        <v>0</v>
      </c>
      <c r="F29" s="33" t="e">
        <f t="shared" si="2"/>
        <v>#DIV/0!</v>
      </c>
      <c r="G29" s="38">
        <v>0</v>
      </c>
      <c r="H29" s="33">
        <v>0</v>
      </c>
      <c r="I29" s="35" t="e">
        <f t="shared" si="17"/>
        <v>#DIV/0!</v>
      </c>
      <c r="J29" s="38">
        <v>0</v>
      </c>
      <c r="K29" s="35">
        <v>0</v>
      </c>
      <c r="L29" s="35" t="e">
        <f t="shared" si="4"/>
        <v>#DIV/0!</v>
      </c>
      <c r="M29" s="38">
        <v>0</v>
      </c>
      <c r="N29" s="39">
        <v>0</v>
      </c>
      <c r="O29" s="35" t="e">
        <f t="shared" si="5"/>
        <v>#DIV/0!</v>
      </c>
      <c r="P29" s="38">
        <v>0</v>
      </c>
      <c r="Q29" s="39">
        <v>0</v>
      </c>
      <c r="R29" s="36" t="e">
        <f t="shared" si="6"/>
        <v>#DIV/0!</v>
      </c>
      <c r="S29" s="38">
        <v>0</v>
      </c>
      <c r="T29" s="39">
        <v>0</v>
      </c>
      <c r="U29" s="35" t="e">
        <f t="shared" si="7"/>
        <v>#DIV/0!</v>
      </c>
      <c r="V29" s="38">
        <v>0</v>
      </c>
      <c r="W29" s="48">
        <v>0</v>
      </c>
      <c r="X29" s="35" t="e">
        <f t="shared" si="8"/>
        <v>#DIV/0!</v>
      </c>
      <c r="Y29" s="38">
        <v>0</v>
      </c>
      <c r="Z29" s="39">
        <v>0</v>
      </c>
      <c r="AA29" s="35" t="e">
        <f t="shared" si="9"/>
        <v>#DIV/0!</v>
      </c>
      <c r="AB29" s="38">
        <v>0</v>
      </c>
      <c r="AC29" s="39">
        <v>0</v>
      </c>
      <c r="AD29" s="35" t="e">
        <f t="shared" si="10"/>
        <v>#DIV/0!</v>
      </c>
      <c r="AE29" s="38">
        <v>0</v>
      </c>
      <c r="AF29" s="39">
        <v>0</v>
      </c>
      <c r="AG29" s="35" t="e">
        <f t="shared" si="11"/>
        <v>#DIV/0!</v>
      </c>
      <c r="AH29" s="38">
        <v>0</v>
      </c>
      <c r="AI29" s="39">
        <v>0</v>
      </c>
      <c r="AJ29" s="35">
        <v>0</v>
      </c>
      <c r="AK29" s="38">
        <v>0</v>
      </c>
      <c r="AL29" s="39">
        <v>0</v>
      </c>
      <c r="AM29" s="35" t="e">
        <f t="shared" si="13"/>
        <v>#DIV/0!</v>
      </c>
      <c r="AN29" s="93">
        <v>0</v>
      </c>
      <c r="AO29" s="39">
        <v>0</v>
      </c>
      <c r="AP29" s="89">
        <v>0</v>
      </c>
      <c r="AQ29" s="23"/>
    </row>
    <row r="30" spans="1:43" ht="26.25" customHeight="1" x14ac:dyDescent="0.25">
      <c r="A30" s="168"/>
      <c r="B30" s="154"/>
      <c r="C30" s="21" t="s">
        <v>24</v>
      </c>
      <c r="D30" s="52">
        <f t="shared" ref="D30:D31" si="18">G30+J30+M30+P30+S30+V30+Y30+AB30+AE30+AH30+AK30+AN30</f>
        <v>0</v>
      </c>
      <c r="E30" s="51">
        <f t="shared" si="1"/>
        <v>0</v>
      </c>
      <c r="F30" s="33">
        <v>0</v>
      </c>
      <c r="G30" s="38">
        <v>0</v>
      </c>
      <c r="H30" s="33">
        <v>0</v>
      </c>
      <c r="I30" s="35">
        <v>0</v>
      </c>
      <c r="J30" s="38">
        <v>0</v>
      </c>
      <c r="K30" s="35">
        <v>0</v>
      </c>
      <c r="L30" s="35">
        <v>0</v>
      </c>
      <c r="M30" s="38">
        <v>0</v>
      </c>
      <c r="N30" s="39">
        <v>0</v>
      </c>
      <c r="O30" s="35">
        <v>0</v>
      </c>
      <c r="P30" s="38">
        <v>0</v>
      </c>
      <c r="Q30" s="39">
        <v>0</v>
      </c>
      <c r="R30" s="36">
        <v>0</v>
      </c>
      <c r="S30" s="38">
        <v>0</v>
      </c>
      <c r="T30" s="39">
        <v>0</v>
      </c>
      <c r="U30" s="35">
        <v>0</v>
      </c>
      <c r="V30" s="38">
        <v>0</v>
      </c>
      <c r="W30" s="48">
        <v>0</v>
      </c>
      <c r="X30" s="35">
        <v>0</v>
      </c>
      <c r="Y30" s="38">
        <v>0</v>
      </c>
      <c r="Z30" s="39">
        <v>0</v>
      </c>
      <c r="AA30" s="35">
        <v>0</v>
      </c>
      <c r="AB30" s="38">
        <v>0</v>
      </c>
      <c r="AC30" s="96">
        <v>0</v>
      </c>
      <c r="AD30" s="35">
        <v>0</v>
      </c>
      <c r="AE30" s="38">
        <v>0</v>
      </c>
      <c r="AF30" s="39">
        <v>0</v>
      </c>
      <c r="AG30" s="35">
        <v>0</v>
      </c>
      <c r="AH30" s="38">
        <v>0</v>
      </c>
      <c r="AI30" s="39">
        <v>0</v>
      </c>
      <c r="AJ30" s="35">
        <v>0</v>
      </c>
      <c r="AK30" s="38">
        <v>0</v>
      </c>
      <c r="AL30" s="39">
        <v>0</v>
      </c>
      <c r="AM30" s="35">
        <v>0</v>
      </c>
      <c r="AN30" s="93">
        <v>0</v>
      </c>
      <c r="AO30" s="39">
        <v>0</v>
      </c>
      <c r="AP30" s="39">
        <v>0</v>
      </c>
      <c r="AQ30" s="23"/>
    </row>
    <row r="31" spans="1:43" ht="26.25" customHeight="1" x14ac:dyDescent="0.25">
      <c r="A31" s="169"/>
      <c r="B31" s="155"/>
      <c r="C31" s="18" t="s">
        <v>25</v>
      </c>
      <c r="D31" s="52">
        <f t="shared" si="18"/>
        <v>0</v>
      </c>
      <c r="E31" s="51">
        <f t="shared" si="1"/>
        <v>0</v>
      </c>
      <c r="F31" s="33">
        <v>0</v>
      </c>
      <c r="G31" s="38">
        <v>0</v>
      </c>
      <c r="H31" s="33">
        <v>0</v>
      </c>
      <c r="I31" s="35">
        <v>0</v>
      </c>
      <c r="J31" s="38">
        <v>0</v>
      </c>
      <c r="K31" s="35">
        <v>0</v>
      </c>
      <c r="L31" s="35">
        <v>0</v>
      </c>
      <c r="M31" s="38">
        <v>0</v>
      </c>
      <c r="N31" s="39">
        <v>0</v>
      </c>
      <c r="O31" s="35">
        <v>0</v>
      </c>
      <c r="P31" s="38">
        <v>0</v>
      </c>
      <c r="Q31" s="39">
        <v>0</v>
      </c>
      <c r="R31" s="36">
        <v>0</v>
      </c>
      <c r="S31" s="38">
        <v>0</v>
      </c>
      <c r="T31" s="39">
        <v>0</v>
      </c>
      <c r="U31" s="35">
        <v>0</v>
      </c>
      <c r="V31" s="38">
        <v>0</v>
      </c>
      <c r="W31" s="48">
        <v>0</v>
      </c>
      <c r="X31" s="35">
        <v>0</v>
      </c>
      <c r="Y31" s="38">
        <v>0</v>
      </c>
      <c r="Z31" s="39">
        <v>0</v>
      </c>
      <c r="AA31" s="35">
        <v>0</v>
      </c>
      <c r="AB31" s="93">
        <v>0</v>
      </c>
      <c r="AC31" s="39">
        <v>0</v>
      </c>
      <c r="AD31" s="35">
        <v>0</v>
      </c>
      <c r="AE31" s="38">
        <v>0</v>
      </c>
      <c r="AF31" s="39">
        <v>0</v>
      </c>
      <c r="AG31" s="35">
        <v>0</v>
      </c>
      <c r="AH31" s="38">
        <v>0</v>
      </c>
      <c r="AI31" s="39">
        <v>0</v>
      </c>
      <c r="AJ31" s="35">
        <v>0</v>
      </c>
      <c r="AK31" s="38">
        <v>0</v>
      </c>
      <c r="AL31" s="39">
        <v>0</v>
      </c>
      <c r="AM31" s="35">
        <v>0</v>
      </c>
      <c r="AN31" s="38">
        <v>0</v>
      </c>
      <c r="AO31" s="39">
        <v>0</v>
      </c>
      <c r="AP31" s="39">
        <v>0</v>
      </c>
      <c r="AQ31" s="23"/>
    </row>
    <row r="32" spans="1:43" x14ac:dyDescent="0.25">
      <c r="A32" s="3"/>
      <c r="B32" s="124"/>
      <c r="C32" s="123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7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7"/>
      <c r="AO32" s="27"/>
      <c r="AP32" s="28"/>
      <c r="AQ32" s="28"/>
    </row>
    <row r="33" spans="1:43" x14ac:dyDescent="0.25">
      <c r="A33" s="3"/>
      <c r="B33" s="170" t="s">
        <v>44</v>
      </c>
      <c r="C33" s="170"/>
      <c r="D33" s="170"/>
      <c r="E33" s="170"/>
      <c r="F33" s="170"/>
      <c r="G33" s="170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7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7"/>
      <c r="AO33" s="27"/>
      <c r="AP33" s="28"/>
      <c r="AQ33" s="28"/>
    </row>
    <row r="34" spans="1:43" ht="32.25" customHeight="1" x14ac:dyDescent="0.25">
      <c r="A34" s="3"/>
      <c r="B34" s="166" t="s">
        <v>42</v>
      </c>
      <c r="C34" s="166"/>
      <c r="D34" s="166"/>
      <c r="E34" s="166"/>
      <c r="F34" s="166"/>
      <c r="G34" s="166"/>
      <c r="H34" s="166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7"/>
      <c r="AP34" s="28"/>
      <c r="AQ34" s="28"/>
    </row>
    <row r="35" spans="1:43" x14ac:dyDescent="0.25">
      <c r="B35" t="s">
        <v>45</v>
      </c>
      <c r="G35" s="45"/>
      <c r="M35" s="45"/>
    </row>
  </sheetData>
  <mergeCells count="34">
    <mergeCell ref="AK10:AM10"/>
    <mergeCell ref="B33:G33"/>
    <mergeCell ref="B34:H34"/>
    <mergeCell ref="A22:A26"/>
    <mergeCell ref="B22:B26"/>
    <mergeCell ref="A27:A31"/>
    <mergeCell ref="B27:B31"/>
    <mergeCell ref="AH10:AJ10"/>
    <mergeCell ref="A12:A16"/>
    <mergeCell ref="B12:B16"/>
    <mergeCell ref="A17:A21"/>
    <mergeCell ref="B17:B21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AN10:AP10"/>
    <mergeCell ref="S10:U10"/>
    <mergeCell ref="V10:X10"/>
    <mergeCell ref="Y10:AA10"/>
    <mergeCell ref="AB10:AD10"/>
    <mergeCell ref="AE10:AG10"/>
    <mergeCell ref="E6:Y6"/>
    <mergeCell ref="D1:O1"/>
    <mergeCell ref="AL1:AP1"/>
    <mergeCell ref="Z2:AP2"/>
    <mergeCell ref="AL3:AP3"/>
    <mergeCell ref="E5:Y5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68" fitToWidth="0" orientation="landscape" r:id="rId1"/>
  <colBreaks count="2" manualBreakCount="2">
    <brk id="21" max="1048575" man="1"/>
    <brk id="42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5"/>
  <sheetViews>
    <sheetView view="pageBreakPreview" topLeftCell="L1" zoomScale="70" zoomScaleNormal="100" zoomScaleSheetLayoutView="70" workbookViewId="0">
      <selection activeCell="O34" sqref="O34"/>
    </sheetView>
  </sheetViews>
  <sheetFormatPr defaultRowHeight="15" x14ac:dyDescent="0.25"/>
  <cols>
    <col min="1" max="1" width="4.5703125" customWidth="1"/>
    <col min="2" max="2" width="27.28515625" customWidth="1"/>
    <col min="3" max="3" width="9.28515625" customWidth="1"/>
    <col min="4" max="4" width="10.28515625" customWidth="1"/>
    <col min="5" max="5" width="10" customWidth="1"/>
    <col min="6" max="6" width="8.85546875" customWidth="1"/>
    <col min="7" max="8" width="9.28515625" customWidth="1"/>
    <col min="9" max="9" width="9.85546875" customWidth="1"/>
    <col min="10" max="10" width="9.28515625" customWidth="1"/>
    <col min="11" max="11" width="11.28515625" customWidth="1"/>
    <col min="12" max="12" width="9" customWidth="1"/>
    <col min="13" max="13" width="8.28515625" customWidth="1"/>
    <col min="14" max="14" width="8.5703125" style="32" customWidth="1"/>
    <col min="15" max="15" width="8.7109375" customWidth="1"/>
    <col min="16" max="17" width="9.28515625" style="32" customWidth="1"/>
    <col min="18" max="18" width="8" style="32" customWidth="1"/>
    <col min="19" max="19" width="9.28515625" customWidth="1"/>
    <col min="20" max="20" width="9.28515625" style="32" customWidth="1"/>
    <col min="21" max="21" width="10.140625" customWidth="1"/>
    <col min="22" max="22" width="10.85546875" customWidth="1"/>
    <col min="23" max="23" width="8.7109375" customWidth="1"/>
    <col min="24" max="24" width="8" customWidth="1"/>
    <col min="25" max="25" width="9.28515625" customWidth="1"/>
    <col min="26" max="26" width="8.28515625" customWidth="1"/>
    <col min="27" max="28" width="8.42578125" customWidth="1"/>
    <col min="29" max="29" width="9.28515625" customWidth="1"/>
    <col min="30" max="30" width="8.140625" customWidth="1"/>
    <col min="31" max="31" width="11.28515625" customWidth="1"/>
    <col min="32" max="32" width="7.28515625" customWidth="1"/>
    <col min="33" max="33" width="8.140625" customWidth="1"/>
    <col min="34" max="34" width="10.5703125" customWidth="1"/>
    <col min="35" max="35" width="10.42578125" customWidth="1"/>
    <col min="36" max="36" width="5.7109375" customWidth="1"/>
    <col min="37" max="37" width="9.42578125" customWidth="1"/>
    <col min="38" max="38" width="10.28515625" customWidth="1"/>
    <col min="39" max="39" width="8.5703125" customWidth="1"/>
    <col min="40" max="40" width="8.140625" customWidth="1"/>
    <col min="41" max="42" width="4.5703125" customWidth="1"/>
    <col min="43" max="43" width="2.7109375" customWidth="1"/>
    <col min="45" max="45" width="7.28515625" customWidth="1"/>
    <col min="46" max="46" width="12.7109375" customWidth="1"/>
    <col min="47" max="47" width="13.28515625" customWidth="1"/>
    <col min="48" max="48" width="16.140625" customWidth="1"/>
    <col min="49" max="49" width="17.5703125" customWidth="1"/>
    <col min="50" max="50" width="13" customWidth="1"/>
    <col min="51" max="51" width="12.28515625" customWidth="1"/>
  </cols>
  <sheetData>
    <row r="1" spans="1:51" ht="15.75" x14ac:dyDescent="0.25">
      <c r="A1" s="4"/>
      <c r="B1" s="97"/>
      <c r="C1" s="98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101"/>
      <c r="Q1" s="101"/>
      <c r="R1" s="8"/>
      <c r="S1" s="8"/>
      <c r="T1" s="8"/>
      <c r="U1" s="8"/>
      <c r="V1" s="8"/>
      <c r="W1" s="9"/>
      <c r="X1" s="8"/>
      <c r="Y1" s="8"/>
      <c r="Z1" s="9"/>
      <c r="AA1" s="9"/>
      <c r="AB1" s="8"/>
      <c r="AC1" s="8"/>
      <c r="AD1" s="8"/>
      <c r="AE1" s="8"/>
      <c r="AF1" s="8"/>
      <c r="AG1" s="8"/>
      <c r="AH1" s="8"/>
      <c r="AI1" s="8"/>
      <c r="AJ1" s="8"/>
      <c r="AK1" s="8"/>
      <c r="AL1" s="243" t="s">
        <v>49</v>
      </c>
      <c r="AM1" s="192"/>
      <c r="AN1" s="192"/>
      <c r="AO1" s="192"/>
      <c r="AP1" s="192"/>
      <c r="AQ1" s="4"/>
      <c r="AR1" s="4"/>
      <c r="AS1" s="53"/>
      <c r="AU1" s="53"/>
      <c r="AV1" s="53"/>
      <c r="AW1" s="54"/>
      <c r="AX1" s="4"/>
      <c r="AY1" s="4"/>
    </row>
    <row r="2" spans="1:51" ht="15.75" x14ac:dyDescent="0.25">
      <c r="A2" s="4"/>
      <c r="B2" s="97"/>
      <c r="C2" s="98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01"/>
      <c r="Q2" s="101"/>
      <c r="R2" s="8"/>
      <c r="S2" s="8"/>
      <c r="T2" s="8"/>
      <c r="U2" s="8"/>
      <c r="V2" s="8"/>
      <c r="W2" s="9"/>
      <c r="X2" s="8"/>
      <c r="Y2" s="8"/>
      <c r="Z2" s="245" t="s">
        <v>50</v>
      </c>
      <c r="AA2" s="245"/>
      <c r="AB2" s="245"/>
      <c r="AC2" s="245"/>
      <c r="AD2" s="245"/>
      <c r="AE2" s="245"/>
      <c r="AF2" s="245"/>
      <c r="AG2" s="245"/>
      <c r="AH2" s="245"/>
      <c r="AI2" s="245"/>
      <c r="AJ2" s="245"/>
      <c r="AK2" s="245"/>
      <c r="AL2" s="245"/>
      <c r="AM2" s="245"/>
      <c r="AN2" s="245"/>
      <c r="AO2" s="245"/>
      <c r="AP2" s="245"/>
      <c r="AQ2" s="4"/>
      <c r="AR2" s="4"/>
      <c r="AS2" s="53"/>
      <c r="AT2" s="53"/>
      <c r="AU2" s="53"/>
      <c r="AV2" s="53"/>
      <c r="AW2" s="54"/>
      <c r="AX2" s="4"/>
      <c r="AY2" s="4"/>
    </row>
    <row r="3" spans="1:51" ht="15.75" x14ac:dyDescent="0.25">
      <c r="A3" s="4"/>
      <c r="B3" s="97"/>
      <c r="C3" s="98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01"/>
      <c r="Q3" s="101"/>
      <c r="R3" s="8"/>
      <c r="S3" s="8"/>
      <c r="T3" s="8"/>
      <c r="U3" s="8"/>
      <c r="V3" s="8"/>
      <c r="W3" s="9"/>
      <c r="X3" s="8"/>
      <c r="Y3" s="8"/>
      <c r="Z3" s="9"/>
      <c r="AA3" s="9"/>
      <c r="AB3" s="8"/>
      <c r="AC3" s="8"/>
      <c r="AD3" s="8"/>
      <c r="AE3" s="8"/>
      <c r="AF3" s="8"/>
      <c r="AG3" s="8"/>
      <c r="AH3" s="8"/>
      <c r="AI3" s="8"/>
      <c r="AJ3" s="8"/>
      <c r="AK3" s="8"/>
      <c r="AL3" s="243" t="s">
        <v>51</v>
      </c>
      <c r="AM3" s="192"/>
      <c r="AN3" s="192"/>
      <c r="AO3" s="192"/>
      <c r="AP3" s="192"/>
      <c r="AQ3" s="4"/>
      <c r="AR3" s="4"/>
      <c r="AS3" s="53"/>
      <c r="AT3" s="53"/>
      <c r="AU3" s="53"/>
      <c r="AV3" s="53"/>
      <c r="AW3" s="54"/>
      <c r="AX3" s="4"/>
      <c r="AY3" s="4"/>
    </row>
    <row r="4" spans="1:51" ht="15.75" x14ac:dyDescent="0.25">
      <c r="A4" s="4"/>
      <c r="B4" s="97"/>
      <c r="C4" s="98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01"/>
      <c r="Q4" s="101"/>
      <c r="R4" s="8"/>
      <c r="S4" s="8"/>
      <c r="T4" s="8"/>
      <c r="U4" s="8"/>
      <c r="V4" s="8"/>
      <c r="W4" s="9"/>
      <c r="X4" s="8"/>
      <c r="Y4" s="8"/>
      <c r="Z4" s="9"/>
      <c r="AA4" s="9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4"/>
      <c r="AQ4" s="4"/>
      <c r="AR4" s="4"/>
      <c r="AS4" s="53"/>
      <c r="AT4" s="53"/>
      <c r="AU4" s="53"/>
      <c r="AV4" s="53"/>
      <c r="AW4" s="54"/>
      <c r="AX4" s="4"/>
      <c r="AY4" s="4"/>
    </row>
    <row r="5" spans="1:51" ht="15.75" x14ac:dyDescent="0.25">
      <c r="A5" s="4"/>
      <c r="B5" s="97"/>
      <c r="C5" s="98"/>
      <c r="D5" s="133"/>
      <c r="E5" s="226" t="s">
        <v>46</v>
      </c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9"/>
      <c r="AA5" s="9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4"/>
      <c r="AQ5" s="4"/>
      <c r="AR5" s="4"/>
      <c r="AS5" s="53"/>
      <c r="AT5" s="53"/>
      <c r="AU5" s="53"/>
      <c r="AV5" s="53"/>
      <c r="AW5" s="54"/>
      <c r="AX5" s="4"/>
      <c r="AY5" s="4"/>
    </row>
    <row r="6" spans="1:51" ht="15.75" x14ac:dyDescent="0.25">
      <c r="A6" s="4"/>
      <c r="B6" s="97"/>
      <c r="C6" s="98"/>
      <c r="D6" s="133"/>
      <c r="E6" s="226" t="s">
        <v>47</v>
      </c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9"/>
      <c r="AA6" s="9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4"/>
      <c r="AQ6" s="4"/>
      <c r="AR6" s="4"/>
      <c r="AS6" s="53"/>
      <c r="AT6" s="53"/>
      <c r="AU6" s="53"/>
      <c r="AV6" s="53"/>
      <c r="AW6" s="54"/>
      <c r="AX6" s="4"/>
      <c r="AY6" s="4"/>
    </row>
    <row r="7" spans="1:51" ht="15.75" x14ac:dyDescent="0.25">
      <c r="A7" s="4"/>
      <c r="B7" s="97"/>
      <c r="C7" s="98"/>
      <c r="D7" s="133"/>
      <c r="E7" s="226" t="s">
        <v>99</v>
      </c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9"/>
      <c r="AA7" s="9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4"/>
      <c r="AQ7" s="4"/>
      <c r="AR7" s="4"/>
      <c r="AS7" s="53"/>
      <c r="AT7" s="53"/>
      <c r="AU7" s="53"/>
      <c r="AV7" s="53"/>
      <c r="AW7" s="54"/>
      <c r="AX7" s="4"/>
      <c r="AY7" s="4"/>
    </row>
    <row r="8" spans="1:51" ht="15.75" hidden="1" x14ac:dyDescent="0.25">
      <c r="A8" s="4"/>
      <c r="B8" s="97"/>
      <c r="C8" s="98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01"/>
      <c r="Q8" s="101"/>
      <c r="R8" s="8"/>
      <c r="S8" s="8"/>
      <c r="T8" s="8"/>
      <c r="U8" s="8"/>
      <c r="V8" s="8"/>
      <c r="W8" s="9"/>
      <c r="X8" s="8"/>
      <c r="Y8" s="8"/>
      <c r="Z8" s="9"/>
      <c r="AA8" s="9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4"/>
      <c r="AQ8" s="4"/>
      <c r="AR8" s="4"/>
      <c r="AS8" s="53"/>
      <c r="AT8" s="53"/>
      <c r="AU8" s="53"/>
      <c r="AV8" s="53"/>
      <c r="AW8" s="54"/>
      <c r="AX8" s="4"/>
      <c r="AY8" s="4"/>
    </row>
    <row r="9" spans="1:51" ht="15.75" x14ac:dyDescent="0.25">
      <c r="A9" s="4"/>
      <c r="B9" s="97"/>
      <c r="C9" s="9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7"/>
      <c r="Q9" s="7"/>
      <c r="R9" s="8"/>
      <c r="S9" s="8"/>
      <c r="T9" s="8"/>
      <c r="U9" s="8"/>
      <c r="V9" s="8"/>
      <c r="W9" s="9"/>
      <c r="X9" s="8"/>
      <c r="Y9" s="8"/>
      <c r="Z9" s="9"/>
      <c r="AA9" s="9"/>
      <c r="AB9" s="8"/>
      <c r="AC9" s="8"/>
      <c r="AD9" s="8"/>
      <c r="AE9" s="8"/>
      <c r="AF9" s="8"/>
      <c r="AG9" s="8"/>
      <c r="AH9" s="8"/>
      <c r="AI9" s="8"/>
      <c r="AJ9" s="8"/>
      <c r="AK9" s="8"/>
      <c r="AL9" s="218" t="s">
        <v>52</v>
      </c>
      <c r="AM9" s="219"/>
      <c r="AN9" s="219"/>
      <c r="AO9" s="219"/>
      <c r="AP9" s="219"/>
      <c r="AQ9" s="4"/>
      <c r="AR9" s="4"/>
      <c r="AS9" s="53"/>
      <c r="AT9" s="53" t="s">
        <v>33</v>
      </c>
      <c r="AU9" s="53"/>
      <c r="AV9" s="53"/>
      <c r="AW9" s="54"/>
      <c r="AX9" s="4"/>
      <c r="AY9" s="4"/>
    </row>
    <row r="10" spans="1:51" ht="15" customHeight="1" x14ac:dyDescent="0.25">
      <c r="A10" s="164" t="s">
        <v>0</v>
      </c>
      <c r="B10" s="164" t="s">
        <v>1</v>
      </c>
      <c r="C10" s="148" t="s">
        <v>2</v>
      </c>
      <c r="D10" s="183" t="s">
        <v>43</v>
      </c>
      <c r="E10" s="184"/>
      <c r="F10" s="185"/>
      <c r="G10" s="186" t="s">
        <v>3</v>
      </c>
      <c r="H10" s="187"/>
      <c r="I10" s="188"/>
      <c r="J10" s="186" t="s">
        <v>4</v>
      </c>
      <c r="K10" s="187"/>
      <c r="L10" s="188"/>
      <c r="M10" s="177" t="s">
        <v>5</v>
      </c>
      <c r="N10" s="178"/>
      <c r="O10" s="179"/>
      <c r="P10" s="177" t="s">
        <v>6</v>
      </c>
      <c r="Q10" s="178"/>
      <c r="R10" s="179"/>
      <c r="S10" s="175" t="s">
        <v>7</v>
      </c>
      <c r="T10" s="175"/>
      <c r="U10" s="175"/>
      <c r="V10" s="180" t="s">
        <v>8</v>
      </c>
      <c r="W10" s="180"/>
      <c r="X10" s="180"/>
      <c r="Y10" s="175" t="s">
        <v>9</v>
      </c>
      <c r="Z10" s="175"/>
      <c r="AA10" s="175"/>
      <c r="AB10" s="181" t="s">
        <v>10</v>
      </c>
      <c r="AC10" s="181"/>
      <c r="AD10" s="181"/>
      <c r="AE10" s="181" t="s">
        <v>11</v>
      </c>
      <c r="AF10" s="181"/>
      <c r="AG10" s="181"/>
      <c r="AH10" s="174" t="s">
        <v>12</v>
      </c>
      <c r="AI10" s="174"/>
      <c r="AJ10" s="174"/>
      <c r="AK10" s="175" t="s">
        <v>13</v>
      </c>
      <c r="AL10" s="175"/>
      <c r="AM10" s="175"/>
      <c r="AN10" s="176" t="s">
        <v>14</v>
      </c>
      <c r="AO10" s="176"/>
      <c r="AP10" s="176"/>
      <c r="AQ10" s="10"/>
      <c r="AR10" s="10"/>
      <c r="AS10" s="55"/>
      <c r="AT10" s="156" t="s">
        <v>94</v>
      </c>
      <c r="AU10" s="158" t="s">
        <v>34</v>
      </c>
      <c r="AV10" s="160" t="s">
        <v>35</v>
      </c>
      <c r="AW10" s="162" t="s">
        <v>36</v>
      </c>
      <c r="AX10" s="164" t="s">
        <v>1</v>
      </c>
      <c r="AY10" s="148" t="s">
        <v>2</v>
      </c>
    </row>
    <row r="11" spans="1:51" ht="25.5" x14ac:dyDescent="0.25">
      <c r="A11" s="165"/>
      <c r="B11" s="165"/>
      <c r="C11" s="149"/>
      <c r="D11" s="11" t="s">
        <v>15</v>
      </c>
      <c r="E11" s="11" t="s">
        <v>16</v>
      </c>
      <c r="F11" s="12" t="s">
        <v>17</v>
      </c>
      <c r="G11" s="13" t="s">
        <v>18</v>
      </c>
      <c r="H11" s="130" t="s">
        <v>19</v>
      </c>
      <c r="I11" s="14" t="s">
        <v>17</v>
      </c>
      <c r="J11" s="13" t="s">
        <v>18</v>
      </c>
      <c r="K11" s="130" t="s">
        <v>19</v>
      </c>
      <c r="L11" s="14" t="s">
        <v>17</v>
      </c>
      <c r="M11" s="13" t="s">
        <v>18</v>
      </c>
      <c r="N11" s="129" t="s">
        <v>19</v>
      </c>
      <c r="O11" s="14" t="s">
        <v>17</v>
      </c>
      <c r="P11" s="13" t="s">
        <v>18</v>
      </c>
      <c r="Q11" s="129" t="s">
        <v>19</v>
      </c>
      <c r="R11" s="129" t="s">
        <v>17</v>
      </c>
      <c r="S11" s="13" t="s">
        <v>18</v>
      </c>
      <c r="T11" s="129" t="s">
        <v>19</v>
      </c>
      <c r="U11" s="14" t="s">
        <v>17</v>
      </c>
      <c r="V11" s="13" t="s">
        <v>18</v>
      </c>
      <c r="W11" s="129" t="s">
        <v>19</v>
      </c>
      <c r="X11" s="14" t="s">
        <v>17</v>
      </c>
      <c r="Y11" s="13" t="s">
        <v>18</v>
      </c>
      <c r="Z11" s="129" t="s">
        <v>19</v>
      </c>
      <c r="AA11" s="130" t="s">
        <v>17</v>
      </c>
      <c r="AB11" s="13" t="s">
        <v>18</v>
      </c>
      <c r="AC11" s="129" t="s">
        <v>19</v>
      </c>
      <c r="AD11" s="14" t="s">
        <v>17</v>
      </c>
      <c r="AE11" s="13" t="s">
        <v>18</v>
      </c>
      <c r="AF11" s="129" t="s">
        <v>19</v>
      </c>
      <c r="AG11" s="14" t="s">
        <v>17</v>
      </c>
      <c r="AH11" s="13" t="s">
        <v>18</v>
      </c>
      <c r="AI11" s="129" t="s">
        <v>19</v>
      </c>
      <c r="AJ11" s="14" t="s">
        <v>17</v>
      </c>
      <c r="AK11" s="13" t="s">
        <v>18</v>
      </c>
      <c r="AL11" s="129" t="s">
        <v>19</v>
      </c>
      <c r="AM11" s="14" t="s">
        <v>17</v>
      </c>
      <c r="AN11" s="15" t="s">
        <v>18</v>
      </c>
      <c r="AO11" s="129" t="s">
        <v>19</v>
      </c>
      <c r="AP11" s="16" t="s">
        <v>17</v>
      </c>
      <c r="AQ11" s="10"/>
      <c r="AR11" s="10"/>
      <c r="AS11" s="56"/>
      <c r="AT11" s="157"/>
      <c r="AU11" s="159"/>
      <c r="AV11" s="161"/>
      <c r="AW11" s="163"/>
      <c r="AX11" s="165"/>
      <c r="AY11" s="149"/>
    </row>
    <row r="12" spans="1:51" ht="28.5" customHeight="1" x14ac:dyDescent="0.25">
      <c r="A12" s="171"/>
      <c r="B12" s="150" t="s">
        <v>98</v>
      </c>
      <c r="C12" s="18" t="s">
        <v>21</v>
      </c>
      <c r="D12" s="49">
        <f>G12+J12+M12+P12+S12+V12+Y12+AB12+AE12+AH12+AK12+AN12</f>
        <v>433564.22000000003</v>
      </c>
      <c r="E12" s="49">
        <f>H12+K12+N12+Q12+T12+W12+Z12+AC12+AF12+AI12+AL12+AO12</f>
        <v>148304.87999999998</v>
      </c>
      <c r="F12" s="33">
        <f>E12/D12*100</f>
        <v>34.205977605808883</v>
      </c>
      <c r="G12" s="34">
        <f>G17+G22+G27</f>
        <v>13280.8</v>
      </c>
      <c r="H12" s="35">
        <f t="shared" ref="H12:AP15" si="0">H17+H22+H27</f>
        <v>19047.900000000001</v>
      </c>
      <c r="I12" s="34">
        <f>H12/G12*100</f>
        <v>143.42434190711404</v>
      </c>
      <c r="J12" s="34">
        <f t="shared" si="0"/>
        <v>32912.5</v>
      </c>
      <c r="K12" s="35">
        <f t="shared" si="0"/>
        <v>21862.16</v>
      </c>
      <c r="L12" s="34">
        <f>K12/J12*100</f>
        <v>66.425096847702235</v>
      </c>
      <c r="M12" s="34">
        <f t="shared" si="0"/>
        <v>36868.1</v>
      </c>
      <c r="N12" s="36">
        <f t="shared" si="0"/>
        <v>31351.95</v>
      </c>
      <c r="O12" s="34">
        <f t="shared" si="0"/>
        <v>195.46194409354513</v>
      </c>
      <c r="P12" s="34">
        <f t="shared" si="0"/>
        <v>36206.519999999997</v>
      </c>
      <c r="Q12" s="36">
        <f t="shared" si="0"/>
        <v>44496.82</v>
      </c>
      <c r="R12" s="36">
        <f t="shared" si="0"/>
        <v>185.60477317288604</v>
      </c>
      <c r="S12" s="34">
        <f t="shared" si="0"/>
        <v>47381.159999999996</v>
      </c>
      <c r="T12" s="36">
        <f t="shared" si="0"/>
        <v>31546.05</v>
      </c>
      <c r="U12" s="34">
        <f t="shared" si="0"/>
        <v>175.20772127718746</v>
      </c>
      <c r="V12" s="34">
        <f t="shared" si="0"/>
        <v>49901.01</v>
      </c>
      <c r="W12" s="46">
        <f>W13+W14+W15+W16</f>
        <v>0</v>
      </c>
      <c r="X12" s="34">
        <f t="shared" si="0"/>
        <v>0</v>
      </c>
      <c r="Y12" s="34">
        <f t="shared" si="0"/>
        <v>41941.420000000006</v>
      </c>
      <c r="Z12" s="34">
        <f t="shared" si="0"/>
        <v>0</v>
      </c>
      <c r="AA12" s="34">
        <f t="shared" si="0"/>
        <v>0</v>
      </c>
      <c r="AB12" s="34">
        <f t="shared" si="0"/>
        <v>41016.120000000003</v>
      </c>
      <c r="AC12" s="34">
        <f t="shared" si="0"/>
        <v>0</v>
      </c>
      <c r="AD12" s="34">
        <f t="shared" si="0"/>
        <v>0</v>
      </c>
      <c r="AE12" s="34">
        <f t="shared" si="0"/>
        <v>36189.520000000004</v>
      </c>
      <c r="AF12" s="34">
        <f t="shared" si="0"/>
        <v>0</v>
      </c>
      <c r="AG12" s="34">
        <f t="shared" si="0"/>
        <v>0</v>
      </c>
      <c r="AH12" s="34">
        <f t="shared" si="0"/>
        <v>33152.629999999997</v>
      </c>
      <c r="AI12" s="34">
        <f t="shared" si="0"/>
        <v>0</v>
      </c>
      <c r="AJ12" s="34">
        <f t="shared" si="0"/>
        <v>0</v>
      </c>
      <c r="AK12" s="34">
        <f t="shared" si="0"/>
        <v>34126.92</v>
      </c>
      <c r="AL12" s="34">
        <f t="shared" si="0"/>
        <v>0</v>
      </c>
      <c r="AM12" s="34">
        <f t="shared" si="0"/>
        <v>0</v>
      </c>
      <c r="AN12" s="34">
        <f t="shared" si="0"/>
        <v>30587.520000000004</v>
      </c>
      <c r="AO12" s="34">
        <f t="shared" si="0"/>
        <v>0</v>
      </c>
      <c r="AP12" s="34">
        <f t="shared" si="0"/>
        <v>0</v>
      </c>
      <c r="AQ12" s="19"/>
      <c r="AR12" s="20"/>
      <c r="AS12" s="57" t="s">
        <v>37</v>
      </c>
      <c r="AT12" s="79">
        <f>AT13+AT14+AT15+AT16</f>
        <v>433564.22000000003</v>
      </c>
      <c r="AU12" s="80">
        <f>AT12-D12</f>
        <v>0</v>
      </c>
      <c r="AV12" s="81">
        <f>AV13+AV14+AV15+AV16</f>
        <v>148304.88000000003</v>
      </c>
      <c r="AW12" s="61">
        <f>AV12-E12</f>
        <v>0</v>
      </c>
      <c r="AX12" s="150" t="s">
        <v>98</v>
      </c>
      <c r="AY12" s="18" t="s">
        <v>21</v>
      </c>
    </row>
    <row r="13" spans="1:51" ht="39" customHeight="1" x14ac:dyDescent="0.25">
      <c r="A13" s="172"/>
      <c r="B13" s="151"/>
      <c r="C13" s="21" t="s">
        <v>22</v>
      </c>
      <c r="D13" s="51">
        <f>G13+J13+M13+P13+S13+V13+Y13+AB13+AE13+AH13+AK13+AN13</f>
        <v>418847.10000000009</v>
      </c>
      <c r="E13" s="51">
        <f t="shared" ref="E13:E31" si="1">H13+K13+N13+Q13+T13+W13+Z13+AC13+AF13+AI13+AL13+AO13</f>
        <v>148025.87</v>
      </c>
      <c r="F13" s="33">
        <f t="shared" ref="F13:F29" si="2">E13/D13*100</f>
        <v>35.341266538553079</v>
      </c>
      <c r="G13" s="34">
        <f>G18+G23+G28</f>
        <v>13280.8</v>
      </c>
      <c r="H13" s="35">
        <f t="shared" si="0"/>
        <v>19047.900000000001</v>
      </c>
      <c r="I13" s="34">
        <f>H13/G13*100</f>
        <v>143.42434190711404</v>
      </c>
      <c r="J13" s="34">
        <f t="shared" si="0"/>
        <v>32912.5</v>
      </c>
      <c r="K13" s="35">
        <f t="shared" si="0"/>
        <v>21862.16</v>
      </c>
      <c r="L13" s="34">
        <f t="shared" si="0"/>
        <v>2.2336227308603003</v>
      </c>
      <c r="M13" s="34">
        <f t="shared" si="0"/>
        <v>36815.800000000003</v>
      </c>
      <c r="N13" s="36">
        <f>N18+N23+N28</f>
        <v>31351.95</v>
      </c>
      <c r="O13" s="34">
        <v>0</v>
      </c>
      <c r="P13" s="34">
        <f t="shared" si="0"/>
        <v>34719.099999999991</v>
      </c>
      <c r="Q13" s="36">
        <f t="shared" si="0"/>
        <v>44496.82</v>
      </c>
      <c r="R13" s="36">
        <f t="shared" si="0"/>
        <v>281.39948044811138</v>
      </c>
      <c r="S13" s="34">
        <f t="shared" si="0"/>
        <v>44288.929999999993</v>
      </c>
      <c r="T13" s="36">
        <f t="shared" si="0"/>
        <v>31267.039999999997</v>
      </c>
      <c r="U13" s="34">
        <f t="shared" si="0"/>
        <v>172.13007443520539</v>
      </c>
      <c r="V13" s="34">
        <f t="shared" si="0"/>
        <v>48457.58</v>
      </c>
      <c r="W13" s="46">
        <f t="shared" si="0"/>
        <v>0</v>
      </c>
      <c r="X13" s="34">
        <f t="shared" si="0"/>
        <v>0</v>
      </c>
      <c r="Y13" s="34">
        <f t="shared" si="0"/>
        <v>40546.390000000007</v>
      </c>
      <c r="Z13" s="34">
        <f t="shared" si="0"/>
        <v>0</v>
      </c>
      <c r="AA13" s="34">
        <f t="shared" si="0"/>
        <v>0</v>
      </c>
      <c r="AB13" s="34">
        <f t="shared" si="0"/>
        <v>39561.590000000004</v>
      </c>
      <c r="AC13" s="34">
        <f t="shared" si="0"/>
        <v>0</v>
      </c>
      <c r="AD13" s="34">
        <f t="shared" si="0"/>
        <v>0</v>
      </c>
      <c r="AE13" s="34">
        <f t="shared" si="0"/>
        <v>34660.19</v>
      </c>
      <c r="AF13" s="34">
        <f t="shared" si="0"/>
        <v>0</v>
      </c>
      <c r="AG13" s="34">
        <f t="shared" si="0"/>
        <v>0</v>
      </c>
      <c r="AH13" s="34">
        <f t="shared" si="0"/>
        <v>31710.799999999999</v>
      </c>
      <c r="AI13" s="34">
        <f t="shared" si="0"/>
        <v>0</v>
      </c>
      <c r="AJ13" s="34">
        <f t="shared" si="0"/>
        <v>0</v>
      </c>
      <c r="AK13" s="34">
        <f t="shared" si="0"/>
        <v>32700.9</v>
      </c>
      <c r="AL13" s="34">
        <f t="shared" si="0"/>
        <v>0</v>
      </c>
      <c r="AM13" s="34">
        <f t="shared" si="0"/>
        <v>0</v>
      </c>
      <c r="AN13" s="34">
        <f t="shared" si="0"/>
        <v>29192.52</v>
      </c>
      <c r="AO13" s="34">
        <f t="shared" si="0"/>
        <v>0</v>
      </c>
      <c r="AP13" s="89">
        <v>0</v>
      </c>
      <c r="AQ13" s="22"/>
      <c r="AR13" s="10"/>
      <c r="AS13" s="62" t="s">
        <v>38</v>
      </c>
      <c r="AT13" s="79">
        <f>AT18+AT23+AT28</f>
        <v>418847.1</v>
      </c>
      <c r="AU13" s="80">
        <f t="shared" ref="AU13:AU31" si="3">AT13-D13</f>
        <v>0</v>
      </c>
      <c r="AV13" s="81">
        <f>AV18+AV23+AV28</f>
        <v>148025.87000000002</v>
      </c>
      <c r="AW13" s="61">
        <f t="shared" ref="AW13:AW31" si="4">AV13-E13</f>
        <v>0</v>
      </c>
      <c r="AX13" s="151"/>
      <c r="AY13" s="21" t="s">
        <v>22</v>
      </c>
    </row>
    <row r="14" spans="1:51" ht="26.25" customHeight="1" x14ac:dyDescent="0.25">
      <c r="A14" s="172"/>
      <c r="B14" s="151"/>
      <c r="C14" s="21" t="s">
        <v>23</v>
      </c>
      <c r="D14" s="51">
        <f t="shared" ref="D14:D26" si="5">G14+J14+M14+P14+S14+V14+Y14+AB14+AE14+AH14+AK14+AN14</f>
        <v>9266.84</v>
      </c>
      <c r="E14" s="51">
        <f>H14+K14+N14+Q14+T14+W14+Z14+AC14+AF14+AI14+AL14+AO14</f>
        <v>279.01</v>
      </c>
      <c r="F14" s="33">
        <f t="shared" si="2"/>
        <v>3.0108429626496194</v>
      </c>
      <c r="G14" s="34">
        <f>G19+G24+G29</f>
        <v>0</v>
      </c>
      <c r="H14" s="35">
        <f>H19+H29</f>
        <v>0</v>
      </c>
      <c r="I14" s="35" t="e">
        <f>H14/G14*100</f>
        <v>#DIV/0!</v>
      </c>
      <c r="J14" s="34">
        <f>J19+J24+J29</f>
        <v>0</v>
      </c>
      <c r="K14" s="35">
        <f>K19+K24+K29</f>
        <v>0</v>
      </c>
      <c r="L14" s="35" t="e">
        <f t="shared" ref="L14:L29" si="6">K14/J14*100</f>
        <v>#DIV/0!</v>
      </c>
      <c r="M14" s="34">
        <f>M19+M24+M29</f>
        <v>52.3</v>
      </c>
      <c r="N14" s="36">
        <f>N19+N24+N29</f>
        <v>0</v>
      </c>
      <c r="O14" s="35">
        <f t="shared" ref="O14:O29" si="7">N14/M14*100</f>
        <v>0</v>
      </c>
      <c r="P14" s="34">
        <f t="shared" si="0"/>
        <v>881.84</v>
      </c>
      <c r="Q14" s="36">
        <f>Q19+Q24+Q29</f>
        <v>0</v>
      </c>
      <c r="R14" s="36">
        <f t="shared" ref="R14:R29" si="8">Q14/P14*100</f>
        <v>0</v>
      </c>
      <c r="S14" s="37">
        <f t="shared" si="0"/>
        <v>2486.6400000000003</v>
      </c>
      <c r="T14" s="36">
        <f>T19+T24+T29</f>
        <v>279.01</v>
      </c>
      <c r="U14" s="35">
        <f t="shared" ref="U14:U29" si="9">T14/S14*100</f>
        <v>11.220361612456967</v>
      </c>
      <c r="V14" s="37">
        <f t="shared" si="0"/>
        <v>837.84</v>
      </c>
      <c r="W14" s="47">
        <f>W19+W24+W29</f>
        <v>0</v>
      </c>
      <c r="X14" s="35">
        <f t="shared" ref="X14:X29" si="10">W14/V14*100</f>
        <v>0</v>
      </c>
      <c r="Y14" s="37">
        <f t="shared" si="0"/>
        <v>789.44</v>
      </c>
      <c r="Z14" s="36">
        <f>Z19+Z24+Z29</f>
        <v>0</v>
      </c>
      <c r="AA14" s="35">
        <f t="shared" ref="AA14:AA29" si="11">Z14/Y14*100</f>
        <v>0</v>
      </c>
      <c r="AB14" s="37">
        <f t="shared" si="0"/>
        <v>848.94</v>
      </c>
      <c r="AC14" s="36">
        <f>AC19+AC24+AC29</f>
        <v>0</v>
      </c>
      <c r="AD14" s="35">
        <f t="shared" ref="AD14:AD29" si="12">AC14/AB14*100</f>
        <v>0</v>
      </c>
      <c r="AE14" s="37">
        <f t="shared" si="0"/>
        <v>923.74</v>
      </c>
      <c r="AF14" s="36">
        <f>AF19+AF24+AF29</f>
        <v>0</v>
      </c>
      <c r="AG14" s="35">
        <f t="shared" ref="AG14:AG29" si="13">AF14/AE14*100</f>
        <v>0</v>
      </c>
      <c r="AH14" s="37">
        <f t="shared" si="0"/>
        <v>836.24</v>
      </c>
      <c r="AI14" s="36">
        <f>AI19+AI24+AI29</f>
        <v>0</v>
      </c>
      <c r="AJ14" s="35">
        <f t="shared" ref="AJ14:AJ27" si="14">AI14/AH14*100</f>
        <v>0</v>
      </c>
      <c r="AK14" s="37">
        <f t="shared" si="0"/>
        <v>820.43</v>
      </c>
      <c r="AL14" s="36">
        <v>0</v>
      </c>
      <c r="AM14" s="35">
        <f t="shared" ref="AM14:AM29" si="15">AL14/AK14*100</f>
        <v>0</v>
      </c>
      <c r="AN14" s="90">
        <f t="shared" si="0"/>
        <v>789.43</v>
      </c>
      <c r="AO14" s="36">
        <v>0</v>
      </c>
      <c r="AP14" s="91">
        <v>0</v>
      </c>
      <c r="AQ14" s="23"/>
      <c r="AR14" s="10"/>
      <c r="AS14" s="62" t="s">
        <v>39</v>
      </c>
      <c r="AT14" s="79">
        <f>AT19+AT24+AT29</f>
        <v>9266.84</v>
      </c>
      <c r="AU14" s="80">
        <f t="shared" si="3"/>
        <v>0</v>
      </c>
      <c r="AV14" s="81">
        <f>AV19+AV24+AV29</f>
        <v>279.01</v>
      </c>
      <c r="AW14" s="61">
        <f>AV14-E14</f>
        <v>0</v>
      </c>
      <c r="AX14" s="151"/>
      <c r="AY14" s="21" t="s">
        <v>23</v>
      </c>
    </row>
    <row r="15" spans="1:51" ht="26.25" customHeight="1" x14ac:dyDescent="0.25">
      <c r="A15" s="172"/>
      <c r="B15" s="151"/>
      <c r="C15" s="21" t="s">
        <v>24</v>
      </c>
      <c r="D15" s="51">
        <f>G15+J15+M15+P15+S15+V15+Y15+AB15+AE15+AH15+AK15+AN15</f>
        <v>5450.2800000000007</v>
      </c>
      <c r="E15" s="51">
        <f t="shared" si="1"/>
        <v>0</v>
      </c>
      <c r="F15" s="33">
        <v>0</v>
      </c>
      <c r="G15" s="34">
        <f t="shared" ref="G15" si="16">G20+G25+G30</f>
        <v>0</v>
      </c>
      <c r="H15" s="35">
        <f>H20+H25+H30</f>
        <v>0</v>
      </c>
      <c r="I15" s="35">
        <v>0</v>
      </c>
      <c r="J15" s="34">
        <f t="shared" ref="J15" si="17">J20+J25+J30</f>
        <v>0</v>
      </c>
      <c r="K15" s="35">
        <v>0</v>
      </c>
      <c r="L15" s="35">
        <v>0</v>
      </c>
      <c r="M15" s="34">
        <f>M20+M25+M30</f>
        <v>0</v>
      </c>
      <c r="N15" s="36">
        <f>N20+N25+N30</f>
        <v>0</v>
      </c>
      <c r="O15" s="35">
        <v>0</v>
      </c>
      <c r="P15" s="34">
        <f t="shared" si="0"/>
        <v>605.58000000000004</v>
      </c>
      <c r="Q15" s="36">
        <f>Q20+Q24+Q30</f>
        <v>0</v>
      </c>
      <c r="R15" s="36">
        <v>0</v>
      </c>
      <c r="S15" s="34">
        <f t="shared" si="0"/>
        <v>605.59</v>
      </c>
      <c r="T15" s="36">
        <v>0</v>
      </c>
      <c r="U15" s="35">
        <v>0</v>
      </c>
      <c r="V15" s="34">
        <f t="shared" si="0"/>
        <v>605.59</v>
      </c>
      <c r="W15" s="47">
        <v>0</v>
      </c>
      <c r="X15" s="35">
        <v>0</v>
      </c>
      <c r="Y15" s="34">
        <f>Y20</f>
        <v>605.59</v>
      </c>
      <c r="Z15" s="36">
        <v>0</v>
      </c>
      <c r="AA15" s="35">
        <v>0</v>
      </c>
      <c r="AB15" s="34">
        <f>AB20</f>
        <v>605.59</v>
      </c>
      <c r="AC15" s="36">
        <v>0</v>
      </c>
      <c r="AD15" s="35">
        <v>0</v>
      </c>
      <c r="AE15" s="34">
        <f t="shared" si="0"/>
        <v>605.59</v>
      </c>
      <c r="AF15" s="36">
        <v>0</v>
      </c>
      <c r="AG15" s="35">
        <v>0</v>
      </c>
      <c r="AH15" s="34">
        <f t="shared" si="0"/>
        <v>605.59</v>
      </c>
      <c r="AI15" s="36">
        <v>0</v>
      </c>
      <c r="AJ15" s="35">
        <v>0</v>
      </c>
      <c r="AK15" s="34">
        <f t="shared" si="0"/>
        <v>605.59</v>
      </c>
      <c r="AL15" s="36">
        <v>0</v>
      </c>
      <c r="AM15" s="35">
        <v>0</v>
      </c>
      <c r="AN15" s="92">
        <f t="shared" si="0"/>
        <v>605.57000000000005</v>
      </c>
      <c r="AO15" s="36">
        <v>0</v>
      </c>
      <c r="AP15" s="91">
        <v>0</v>
      </c>
      <c r="AQ15" s="23"/>
      <c r="AR15" s="10"/>
      <c r="AS15" s="62" t="s">
        <v>40</v>
      </c>
      <c r="AT15" s="79">
        <f>AT20+AT25+AT30</f>
        <v>5450.28</v>
      </c>
      <c r="AU15" s="80">
        <f t="shared" si="3"/>
        <v>0</v>
      </c>
      <c r="AV15" s="81">
        <f>AV20+AV25+AV30</f>
        <v>0</v>
      </c>
      <c r="AW15" s="61">
        <f t="shared" si="4"/>
        <v>0</v>
      </c>
      <c r="AX15" s="151"/>
      <c r="AY15" s="21" t="s">
        <v>24</v>
      </c>
    </row>
    <row r="16" spans="1:51" ht="26.25" customHeight="1" x14ac:dyDescent="0.25">
      <c r="A16" s="173"/>
      <c r="B16" s="152"/>
      <c r="C16" s="18" t="s">
        <v>25</v>
      </c>
      <c r="D16" s="51">
        <f t="shared" si="5"/>
        <v>0</v>
      </c>
      <c r="E16" s="51">
        <f t="shared" si="1"/>
        <v>0</v>
      </c>
      <c r="F16" s="33">
        <v>0</v>
      </c>
      <c r="G16" s="38">
        <v>0</v>
      </c>
      <c r="H16" s="33">
        <f>H21+H26+H31</f>
        <v>0</v>
      </c>
      <c r="I16" s="35">
        <v>0</v>
      </c>
      <c r="J16" s="38">
        <v>0</v>
      </c>
      <c r="K16" s="35">
        <v>0</v>
      </c>
      <c r="L16" s="35">
        <v>0</v>
      </c>
      <c r="M16" s="38">
        <v>0</v>
      </c>
      <c r="N16" s="39">
        <f>N21+N26+N31</f>
        <v>0</v>
      </c>
      <c r="O16" s="35">
        <v>0</v>
      </c>
      <c r="P16" s="38">
        <v>0</v>
      </c>
      <c r="Q16" s="39">
        <v>0</v>
      </c>
      <c r="R16" s="36">
        <v>0</v>
      </c>
      <c r="S16" s="38">
        <v>0</v>
      </c>
      <c r="T16" s="39">
        <v>0</v>
      </c>
      <c r="U16" s="35">
        <v>0</v>
      </c>
      <c r="V16" s="38">
        <v>0</v>
      </c>
      <c r="W16" s="48">
        <v>0</v>
      </c>
      <c r="X16" s="35">
        <v>0</v>
      </c>
      <c r="Y16" s="38">
        <v>0</v>
      </c>
      <c r="Z16" s="39">
        <v>0</v>
      </c>
      <c r="AA16" s="35">
        <v>0</v>
      </c>
      <c r="AB16" s="38">
        <v>0</v>
      </c>
      <c r="AC16" s="39">
        <v>0</v>
      </c>
      <c r="AD16" s="35">
        <v>0</v>
      </c>
      <c r="AE16" s="38">
        <v>0</v>
      </c>
      <c r="AF16" s="33">
        <v>0</v>
      </c>
      <c r="AG16" s="35">
        <v>0</v>
      </c>
      <c r="AH16" s="38">
        <v>0</v>
      </c>
      <c r="AI16" s="39">
        <v>0</v>
      </c>
      <c r="AJ16" s="35">
        <v>0</v>
      </c>
      <c r="AK16" s="38">
        <v>0</v>
      </c>
      <c r="AL16" s="39">
        <v>0</v>
      </c>
      <c r="AM16" s="35">
        <v>0</v>
      </c>
      <c r="AN16" s="93">
        <v>0</v>
      </c>
      <c r="AO16" s="39">
        <v>0</v>
      </c>
      <c r="AP16" s="39">
        <v>0</v>
      </c>
      <c r="AQ16" s="23"/>
      <c r="AR16" s="10"/>
      <c r="AS16" s="57" t="s">
        <v>41</v>
      </c>
      <c r="AT16" s="79">
        <f>AT21+AT26+AT31</f>
        <v>0</v>
      </c>
      <c r="AU16" s="80">
        <f t="shared" si="3"/>
        <v>0</v>
      </c>
      <c r="AV16" s="81">
        <f>AV21+AV26+AV31</f>
        <v>0</v>
      </c>
      <c r="AW16" s="61">
        <f t="shared" si="4"/>
        <v>0</v>
      </c>
      <c r="AX16" s="152"/>
      <c r="AY16" s="18" t="s">
        <v>25</v>
      </c>
    </row>
    <row r="17" spans="1:51" ht="39" customHeight="1" x14ac:dyDescent="0.25">
      <c r="A17" s="167" t="s">
        <v>26</v>
      </c>
      <c r="B17" s="153" t="s">
        <v>27</v>
      </c>
      <c r="C17" s="18" t="s">
        <v>21</v>
      </c>
      <c r="D17" s="49">
        <f>G17+J17+M17+P17+S17+V17+Y17+AB17+AE17+AH17+AK17+AN17</f>
        <v>21130.180000000004</v>
      </c>
      <c r="E17" s="49">
        <f t="shared" si="1"/>
        <v>423.9</v>
      </c>
      <c r="F17" s="40">
        <f t="shared" ref="F17:O17" si="18">F18+F19+F20</f>
        <v>5.2701388370060105</v>
      </c>
      <c r="G17" s="40">
        <f t="shared" si="18"/>
        <v>0</v>
      </c>
      <c r="H17" s="40">
        <f t="shared" si="18"/>
        <v>0</v>
      </c>
      <c r="I17" s="40" t="e">
        <f t="shared" si="18"/>
        <v>#DIV/0!</v>
      </c>
      <c r="J17" s="40">
        <f t="shared" si="18"/>
        <v>126.7</v>
      </c>
      <c r="K17" s="40">
        <f t="shared" si="18"/>
        <v>2.83</v>
      </c>
      <c r="L17" s="40" t="e">
        <f t="shared" si="18"/>
        <v>#DIV/0!</v>
      </c>
      <c r="M17" s="40">
        <f t="shared" si="18"/>
        <v>175.2</v>
      </c>
      <c r="N17" s="40">
        <f t="shared" si="18"/>
        <v>48.19</v>
      </c>
      <c r="O17" s="40">
        <f t="shared" si="18"/>
        <v>39.21074043938161</v>
      </c>
      <c r="P17" s="40">
        <f>P18+P19+P20+P21</f>
        <v>1506.6200000000001</v>
      </c>
      <c r="Q17" s="40">
        <f>Q18+Q19+Q20+Q21</f>
        <v>18.63</v>
      </c>
      <c r="R17" s="41">
        <f t="shared" si="8"/>
        <v>1.236542724774661</v>
      </c>
      <c r="S17" s="40">
        <f>S18+S20+S19</f>
        <v>4912.380000000001</v>
      </c>
      <c r="T17" s="40">
        <f>T18+T19+T20</f>
        <v>354.25</v>
      </c>
      <c r="U17" s="41">
        <f t="shared" si="9"/>
        <v>7.2113720844071496</v>
      </c>
      <c r="V17" s="40">
        <f>V18+V19+V20</f>
        <v>3309.67</v>
      </c>
      <c r="W17" s="49">
        <f>W18+W19+W21+W20</f>
        <v>0</v>
      </c>
      <c r="X17" s="41">
        <f t="shared" si="10"/>
        <v>0</v>
      </c>
      <c r="Y17" s="40">
        <f>Y18+Y19+Y20</f>
        <v>3192.4700000000003</v>
      </c>
      <c r="Z17" s="40">
        <f>Z18+Z19</f>
        <v>0</v>
      </c>
      <c r="AA17" s="41">
        <f t="shared" si="11"/>
        <v>0</v>
      </c>
      <c r="AB17" s="40">
        <f>AB18+AB19+AB20</f>
        <v>1964.4700000000003</v>
      </c>
      <c r="AC17" s="40">
        <f>AC18+AC19</f>
        <v>0</v>
      </c>
      <c r="AD17" s="41">
        <f t="shared" si="12"/>
        <v>0</v>
      </c>
      <c r="AE17" s="40">
        <f>AE18+AE19+AE20</f>
        <v>1647.27</v>
      </c>
      <c r="AF17" s="40">
        <f>AF18+AF19</f>
        <v>0</v>
      </c>
      <c r="AG17" s="41">
        <f t="shared" si="13"/>
        <v>0</v>
      </c>
      <c r="AH17" s="40">
        <f>AH18+AH19+AH20</f>
        <v>1456.38</v>
      </c>
      <c r="AI17" s="40">
        <f>AI18+AI19</f>
        <v>0</v>
      </c>
      <c r="AJ17" s="41">
        <f t="shared" si="14"/>
        <v>0</v>
      </c>
      <c r="AK17" s="40">
        <f>AK18+AK19+AK20</f>
        <v>1437.77</v>
      </c>
      <c r="AL17" s="40">
        <f>AL18+AL19</f>
        <v>0</v>
      </c>
      <c r="AM17" s="41">
        <f t="shared" si="15"/>
        <v>0</v>
      </c>
      <c r="AN17" s="40">
        <f>AN18+AN19+AN20</f>
        <v>1401.25</v>
      </c>
      <c r="AO17" s="40">
        <v>0</v>
      </c>
      <c r="AP17" s="40">
        <v>0</v>
      </c>
      <c r="AQ17" s="19"/>
      <c r="AR17" s="82"/>
      <c r="AS17" s="83" t="s">
        <v>37</v>
      </c>
      <c r="AT17" s="84">
        <f>AT18+AT19+AT20</f>
        <v>21130.18</v>
      </c>
      <c r="AU17" s="85">
        <f t="shared" si="3"/>
        <v>0</v>
      </c>
      <c r="AV17" s="86">
        <f>AV18+AV19+AV20+AV21</f>
        <v>423.9</v>
      </c>
      <c r="AW17" s="87">
        <f t="shared" si="4"/>
        <v>0</v>
      </c>
      <c r="AX17" s="153" t="s">
        <v>27</v>
      </c>
      <c r="AY17" s="18" t="s">
        <v>21</v>
      </c>
    </row>
    <row r="18" spans="1:51" ht="26.25" customHeight="1" x14ac:dyDescent="0.25">
      <c r="A18" s="168"/>
      <c r="B18" s="154"/>
      <c r="C18" s="21" t="s">
        <v>22</v>
      </c>
      <c r="D18" s="51">
        <f>G18+J18+M18+P18+S18+V18+Y18+AB18+AE18+AH18+AK18+AN18</f>
        <v>6413.06</v>
      </c>
      <c r="E18" s="51">
        <f t="shared" si="1"/>
        <v>144.88999999999999</v>
      </c>
      <c r="F18" s="33">
        <f t="shared" si="2"/>
        <v>2.2592958743563911</v>
      </c>
      <c r="G18" s="38">
        <v>0</v>
      </c>
      <c r="H18" s="33">
        <v>0</v>
      </c>
      <c r="I18" s="35" t="e">
        <f t="shared" ref="I18:I29" si="19">H18/G18*100</f>
        <v>#DIV/0!</v>
      </c>
      <c r="J18" s="38">
        <f>123.7+3</f>
        <v>126.7</v>
      </c>
      <c r="K18" s="35">
        <v>2.83</v>
      </c>
      <c r="L18" s="35">
        <f t="shared" si="6"/>
        <v>2.2336227308603003</v>
      </c>
      <c r="M18" s="38">
        <v>122.9</v>
      </c>
      <c r="N18" s="33">
        <v>48.19</v>
      </c>
      <c r="O18" s="35">
        <f t="shared" si="7"/>
        <v>39.21074043938161</v>
      </c>
      <c r="P18" s="38">
        <v>19.2</v>
      </c>
      <c r="Q18" s="33">
        <v>18.63</v>
      </c>
      <c r="R18" s="36">
        <f t="shared" si="8"/>
        <v>97.03125</v>
      </c>
      <c r="S18" s="38">
        <f>1813.9+6.25</f>
        <v>1820.15</v>
      </c>
      <c r="T18" s="119">
        <v>75.239999999999995</v>
      </c>
      <c r="U18" s="35">
        <f t="shared" si="9"/>
        <v>4.1337252424250748</v>
      </c>
      <c r="V18" s="38">
        <f>1890.8+6.25-30.81</f>
        <v>1866.24</v>
      </c>
      <c r="W18" s="48">
        <v>0</v>
      </c>
      <c r="X18" s="35">
        <f t="shared" si="10"/>
        <v>0</v>
      </c>
      <c r="Y18" s="38">
        <f>1822+6.25-30.81</f>
        <v>1797.44</v>
      </c>
      <c r="Z18" s="39">
        <v>0</v>
      </c>
      <c r="AA18" s="35">
        <f>Z18/Y18*100</f>
        <v>0</v>
      </c>
      <c r="AB18" s="38">
        <f>534.5+6.25-30.81</f>
        <v>509.94</v>
      </c>
      <c r="AC18" s="39">
        <v>0</v>
      </c>
      <c r="AD18" s="35">
        <f t="shared" si="12"/>
        <v>0</v>
      </c>
      <c r="AE18" s="38">
        <f>142.5+6.25-30.81</f>
        <v>117.94</v>
      </c>
      <c r="AF18" s="39">
        <v>0</v>
      </c>
      <c r="AG18" s="35">
        <v>0</v>
      </c>
      <c r="AH18" s="38">
        <f>8.3+6.25</f>
        <v>14.55</v>
      </c>
      <c r="AI18" s="39">
        <v>0</v>
      </c>
      <c r="AJ18" s="35">
        <v>0</v>
      </c>
      <c r="AK18" s="38">
        <f>5.5+6.25</f>
        <v>11.75</v>
      </c>
      <c r="AL18" s="39">
        <v>0</v>
      </c>
      <c r="AM18" s="35">
        <f t="shared" si="15"/>
        <v>0</v>
      </c>
      <c r="AN18" s="93">
        <v>6.25</v>
      </c>
      <c r="AO18" s="39">
        <v>0</v>
      </c>
      <c r="AP18" s="89">
        <v>0</v>
      </c>
      <c r="AQ18" s="22"/>
      <c r="AR18" s="10"/>
      <c r="AS18" s="62" t="s">
        <v>38</v>
      </c>
      <c r="AT18" s="66">
        <v>6413.06</v>
      </c>
      <c r="AU18" s="59">
        <f>AT18-D18</f>
        <v>0</v>
      </c>
      <c r="AV18" s="68">
        <v>144.88999999999999</v>
      </c>
      <c r="AW18" s="61">
        <f t="shared" si="4"/>
        <v>0</v>
      </c>
      <c r="AX18" s="154"/>
      <c r="AY18" s="21" t="s">
        <v>22</v>
      </c>
    </row>
    <row r="19" spans="1:51" ht="26.25" customHeight="1" x14ac:dyDescent="0.25">
      <c r="A19" s="168"/>
      <c r="B19" s="154"/>
      <c r="C19" s="18" t="s">
        <v>23</v>
      </c>
      <c r="D19" s="51">
        <f>G19+J19+M19+P19+S19+V19+Y19+AB19+AE19+AH19+AK19+AN19</f>
        <v>9266.84</v>
      </c>
      <c r="E19" s="51">
        <f t="shared" si="1"/>
        <v>279.01</v>
      </c>
      <c r="F19" s="33">
        <f t="shared" si="2"/>
        <v>3.0108429626496194</v>
      </c>
      <c r="G19" s="38">
        <v>0</v>
      </c>
      <c r="H19" s="33">
        <v>0</v>
      </c>
      <c r="I19" s="35" t="e">
        <f t="shared" si="19"/>
        <v>#DIV/0!</v>
      </c>
      <c r="J19" s="38">
        <v>0</v>
      </c>
      <c r="K19" s="35">
        <v>0</v>
      </c>
      <c r="L19" s="35" t="e">
        <f>K19/J19*100</f>
        <v>#DIV/0!</v>
      </c>
      <c r="M19" s="38">
        <v>52.3</v>
      </c>
      <c r="N19" s="39">
        <v>0</v>
      </c>
      <c r="O19" s="35">
        <f t="shared" si="7"/>
        <v>0</v>
      </c>
      <c r="P19" s="38">
        <f>117.4+764.44</f>
        <v>881.84</v>
      </c>
      <c r="Q19" s="39">
        <v>0</v>
      </c>
      <c r="R19" s="36">
        <f t="shared" si="8"/>
        <v>0</v>
      </c>
      <c r="S19" s="38">
        <f>1697.2+764.44+25</f>
        <v>2486.6400000000003</v>
      </c>
      <c r="T19" s="119">
        <v>279.01</v>
      </c>
      <c r="U19" s="35">
        <f t="shared" si="9"/>
        <v>11.220361612456967</v>
      </c>
      <c r="V19" s="38">
        <f>48.4+764.44+25</f>
        <v>837.84</v>
      </c>
      <c r="W19" s="48">
        <v>0</v>
      </c>
      <c r="X19" s="35">
        <f t="shared" si="10"/>
        <v>0</v>
      </c>
      <c r="Y19" s="38">
        <f>764.44+25</f>
        <v>789.44</v>
      </c>
      <c r="Z19" s="39">
        <v>0</v>
      </c>
      <c r="AA19" s="35">
        <f t="shared" si="11"/>
        <v>0</v>
      </c>
      <c r="AB19" s="38">
        <f>59.5+764.44+25</f>
        <v>848.94</v>
      </c>
      <c r="AC19" s="39">
        <v>0</v>
      </c>
      <c r="AD19" s="35">
        <f t="shared" si="12"/>
        <v>0</v>
      </c>
      <c r="AE19" s="38">
        <f>134.3+764.44+25</f>
        <v>923.74</v>
      </c>
      <c r="AF19" s="39">
        <v>0</v>
      </c>
      <c r="AG19" s="35">
        <f t="shared" si="13"/>
        <v>0</v>
      </c>
      <c r="AH19" s="38">
        <f>46.8+764.44+25</f>
        <v>836.24</v>
      </c>
      <c r="AI19" s="39">
        <v>0</v>
      </c>
      <c r="AJ19" s="35">
        <v>0</v>
      </c>
      <c r="AK19" s="38">
        <f>31+764.43+25</f>
        <v>820.43</v>
      </c>
      <c r="AL19" s="39">
        <v>0</v>
      </c>
      <c r="AM19" s="35">
        <v>0</v>
      </c>
      <c r="AN19" s="93">
        <f>764.43+25</f>
        <v>789.43</v>
      </c>
      <c r="AO19" s="39">
        <v>0</v>
      </c>
      <c r="AP19" s="89">
        <v>0</v>
      </c>
      <c r="AQ19" s="23"/>
      <c r="AR19" s="10"/>
      <c r="AS19" s="62" t="s">
        <v>39</v>
      </c>
      <c r="AT19" s="66">
        <v>9266.84</v>
      </c>
      <c r="AU19" s="59">
        <f t="shared" si="3"/>
        <v>0</v>
      </c>
      <c r="AV19" s="68">
        <v>279.01</v>
      </c>
      <c r="AW19" s="61">
        <f t="shared" si="4"/>
        <v>0</v>
      </c>
      <c r="AX19" s="154"/>
      <c r="AY19" s="18" t="s">
        <v>23</v>
      </c>
    </row>
    <row r="20" spans="1:51" ht="26.25" customHeight="1" x14ac:dyDescent="0.25">
      <c r="A20" s="168"/>
      <c r="B20" s="154"/>
      <c r="C20" s="21" t="s">
        <v>24</v>
      </c>
      <c r="D20" s="51">
        <f t="shared" si="5"/>
        <v>5450.2800000000007</v>
      </c>
      <c r="E20" s="51">
        <f t="shared" si="1"/>
        <v>0</v>
      </c>
      <c r="F20" s="33">
        <v>0</v>
      </c>
      <c r="G20" s="38">
        <v>0</v>
      </c>
      <c r="H20" s="33">
        <v>0</v>
      </c>
      <c r="I20" s="35">
        <v>0</v>
      </c>
      <c r="J20" s="38">
        <v>0</v>
      </c>
      <c r="K20" s="35">
        <v>0</v>
      </c>
      <c r="L20" s="35">
        <v>0</v>
      </c>
      <c r="M20" s="38">
        <v>0</v>
      </c>
      <c r="N20" s="39">
        <v>0</v>
      </c>
      <c r="O20" s="35">
        <v>0</v>
      </c>
      <c r="P20" s="38">
        <v>605.58000000000004</v>
      </c>
      <c r="Q20" s="39">
        <v>0</v>
      </c>
      <c r="R20" s="36">
        <v>0</v>
      </c>
      <c r="S20" s="38">
        <v>605.59</v>
      </c>
      <c r="T20" s="39">
        <v>0</v>
      </c>
      <c r="U20" s="35">
        <v>0</v>
      </c>
      <c r="V20" s="38">
        <v>605.59</v>
      </c>
      <c r="W20" s="48">
        <v>0</v>
      </c>
      <c r="X20" s="35">
        <v>0</v>
      </c>
      <c r="Y20" s="38">
        <v>605.59</v>
      </c>
      <c r="Z20" s="39">
        <v>0</v>
      </c>
      <c r="AA20" s="35">
        <v>0</v>
      </c>
      <c r="AB20" s="38">
        <v>605.59</v>
      </c>
      <c r="AC20" s="39">
        <v>0</v>
      </c>
      <c r="AD20" s="35">
        <v>0</v>
      </c>
      <c r="AE20" s="38">
        <v>605.59</v>
      </c>
      <c r="AF20" s="39">
        <v>0</v>
      </c>
      <c r="AG20" s="35">
        <v>0</v>
      </c>
      <c r="AH20" s="38">
        <v>605.59</v>
      </c>
      <c r="AI20" s="39">
        <v>0</v>
      </c>
      <c r="AJ20" s="35">
        <v>0</v>
      </c>
      <c r="AK20" s="38">
        <v>605.59</v>
      </c>
      <c r="AL20" s="39">
        <v>0</v>
      </c>
      <c r="AM20" s="35">
        <v>0</v>
      </c>
      <c r="AN20" s="93">
        <v>605.57000000000005</v>
      </c>
      <c r="AO20" s="39">
        <v>0</v>
      </c>
      <c r="AP20" s="89">
        <v>0</v>
      </c>
      <c r="AQ20" s="23"/>
      <c r="AR20" s="10"/>
      <c r="AS20" s="62" t="s">
        <v>40</v>
      </c>
      <c r="AT20" s="66">
        <v>5450.28</v>
      </c>
      <c r="AU20" s="59">
        <f t="shared" si="3"/>
        <v>0</v>
      </c>
      <c r="AV20" s="68">
        <v>0</v>
      </c>
      <c r="AW20" s="61">
        <f t="shared" si="4"/>
        <v>0</v>
      </c>
      <c r="AX20" s="154"/>
      <c r="AY20" s="21" t="s">
        <v>24</v>
      </c>
    </row>
    <row r="21" spans="1:51" ht="26.25" customHeight="1" x14ac:dyDescent="0.25">
      <c r="A21" s="169"/>
      <c r="B21" s="155"/>
      <c r="C21" s="18" t="s">
        <v>25</v>
      </c>
      <c r="D21" s="51">
        <f t="shared" si="5"/>
        <v>0</v>
      </c>
      <c r="E21" s="51">
        <f t="shared" si="1"/>
        <v>0</v>
      </c>
      <c r="F21" s="33">
        <v>0</v>
      </c>
      <c r="G21" s="38">
        <v>0</v>
      </c>
      <c r="H21" s="33">
        <v>0</v>
      </c>
      <c r="I21" s="35">
        <v>0</v>
      </c>
      <c r="J21" s="38">
        <v>0</v>
      </c>
      <c r="K21" s="35">
        <v>0</v>
      </c>
      <c r="L21" s="35">
        <v>0</v>
      </c>
      <c r="M21" s="38">
        <v>0</v>
      </c>
      <c r="N21" s="39">
        <v>0</v>
      </c>
      <c r="O21" s="35">
        <v>0</v>
      </c>
      <c r="P21" s="38">
        <v>0</v>
      </c>
      <c r="Q21" s="39">
        <v>0</v>
      </c>
      <c r="R21" s="36">
        <v>0</v>
      </c>
      <c r="S21" s="38">
        <v>0</v>
      </c>
      <c r="T21" s="39">
        <v>0</v>
      </c>
      <c r="U21" s="35">
        <v>0</v>
      </c>
      <c r="V21" s="38">
        <v>0</v>
      </c>
      <c r="W21" s="48">
        <v>0</v>
      </c>
      <c r="X21" s="35">
        <v>0</v>
      </c>
      <c r="Y21" s="38">
        <v>0</v>
      </c>
      <c r="Z21" s="39">
        <v>0</v>
      </c>
      <c r="AA21" s="35">
        <v>0</v>
      </c>
      <c r="AB21" s="38">
        <v>0</v>
      </c>
      <c r="AC21" s="39">
        <v>0</v>
      </c>
      <c r="AD21" s="35">
        <v>0</v>
      </c>
      <c r="AE21" s="38">
        <v>0</v>
      </c>
      <c r="AF21" s="39">
        <v>0</v>
      </c>
      <c r="AG21" s="35">
        <v>0</v>
      </c>
      <c r="AH21" s="38">
        <v>0</v>
      </c>
      <c r="AI21" s="39">
        <v>0</v>
      </c>
      <c r="AJ21" s="35">
        <v>0</v>
      </c>
      <c r="AK21" s="38">
        <v>0</v>
      </c>
      <c r="AL21" s="39">
        <v>0</v>
      </c>
      <c r="AM21" s="35">
        <v>0</v>
      </c>
      <c r="AN21" s="93">
        <v>0</v>
      </c>
      <c r="AO21" s="39">
        <v>0</v>
      </c>
      <c r="AP21" s="39">
        <v>0</v>
      </c>
      <c r="AQ21" s="23"/>
      <c r="AR21" s="10"/>
      <c r="AS21" s="57" t="s">
        <v>41</v>
      </c>
      <c r="AT21" s="58">
        <v>0</v>
      </c>
      <c r="AU21" s="59">
        <f t="shared" si="3"/>
        <v>0</v>
      </c>
      <c r="AV21" s="60">
        <v>0</v>
      </c>
      <c r="AW21" s="61">
        <f t="shared" si="4"/>
        <v>0</v>
      </c>
      <c r="AX21" s="155"/>
      <c r="AY21" s="18" t="s">
        <v>25</v>
      </c>
    </row>
    <row r="22" spans="1:51" ht="37.5" customHeight="1" x14ac:dyDescent="0.25">
      <c r="A22" s="167" t="s">
        <v>30</v>
      </c>
      <c r="B22" s="153" t="s">
        <v>28</v>
      </c>
      <c r="C22" s="18" t="s">
        <v>21</v>
      </c>
      <c r="D22" s="49">
        <f>G22+J22+M22+P22+S22+V22+Y22+AB22+AE22+AH22+AK22+AN22</f>
        <v>7210</v>
      </c>
      <c r="E22" s="49">
        <f t="shared" si="1"/>
        <v>1632.0900000000001</v>
      </c>
      <c r="F22" s="40">
        <f t="shared" si="2"/>
        <v>22.636477115117895</v>
      </c>
      <c r="G22" s="40">
        <f>G23+G24</f>
        <v>0</v>
      </c>
      <c r="H22" s="40">
        <f>H23+H24+H25+H26</f>
        <v>0</v>
      </c>
      <c r="I22" s="41">
        <v>0</v>
      </c>
      <c r="J22" s="40">
        <f>J23+J24+J25</f>
        <v>150</v>
      </c>
      <c r="K22" s="41">
        <f>K23+K24+K25+K26</f>
        <v>40.53</v>
      </c>
      <c r="L22" s="41">
        <v>0</v>
      </c>
      <c r="M22" s="40">
        <f>M23+M24+M25</f>
        <v>895.4</v>
      </c>
      <c r="N22" s="40">
        <f>N23+N24+N25+N26</f>
        <v>631.88</v>
      </c>
      <c r="O22" s="41">
        <f t="shared" si="7"/>
        <v>70.569577842305122</v>
      </c>
      <c r="P22" s="40">
        <f>P23+P24+P25</f>
        <v>437</v>
      </c>
      <c r="Q22" s="40">
        <f>Q23+Q24+Q25+Q26</f>
        <v>241.48</v>
      </c>
      <c r="R22" s="41">
        <f t="shared" si="8"/>
        <v>55.258581235697932</v>
      </c>
      <c r="S22" s="40">
        <f>S23+S24+S25</f>
        <v>756.48</v>
      </c>
      <c r="T22" s="40">
        <f>T23</f>
        <v>718.2</v>
      </c>
      <c r="U22" s="41">
        <f t="shared" si="9"/>
        <v>94.939720812182742</v>
      </c>
      <c r="V22" s="40">
        <f>V23+V24+V25</f>
        <v>1472.8100000000002</v>
      </c>
      <c r="W22" s="49">
        <f>W23+W24+W25+W26</f>
        <v>0</v>
      </c>
      <c r="X22" s="41">
        <f t="shared" si="10"/>
        <v>0</v>
      </c>
      <c r="Y22" s="40">
        <f>Y23+Y24+Y25</f>
        <v>675.81</v>
      </c>
      <c r="Z22" s="40">
        <f>Z23</f>
        <v>0</v>
      </c>
      <c r="AA22" s="41">
        <f t="shared" si="11"/>
        <v>0</v>
      </c>
      <c r="AB22" s="40">
        <f>AB23+AB24+AB25</f>
        <v>701.31</v>
      </c>
      <c r="AC22" s="40">
        <f>AC23</f>
        <v>0</v>
      </c>
      <c r="AD22" s="41">
        <f t="shared" si="12"/>
        <v>0</v>
      </c>
      <c r="AE22" s="40">
        <f>AE23+AE24</f>
        <v>593.80999999999995</v>
      </c>
      <c r="AF22" s="40">
        <f>AF23+AF24</f>
        <v>0</v>
      </c>
      <c r="AG22" s="41">
        <f t="shared" si="13"/>
        <v>0</v>
      </c>
      <c r="AH22" s="40">
        <f>AH23+AH24</f>
        <v>375.81</v>
      </c>
      <c r="AI22" s="40">
        <f>AI23</f>
        <v>0</v>
      </c>
      <c r="AJ22" s="41">
        <f t="shared" si="14"/>
        <v>0</v>
      </c>
      <c r="AK22" s="40">
        <f>AK23+AK24</f>
        <v>475.81</v>
      </c>
      <c r="AL22" s="40">
        <f>AL23</f>
        <v>0</v>
      </c>
      <c r="AM22" s="41">
        <f t="shared" si="15"/>
        <v>0</v>
      </c>
      <c r="AN22" s="94">
        <f>AN23+AN24</f>
        <v>675.76</v>
      </c>
      <c r="AO22" s="40">
        <v>0</v>
      </c>
      <c r="AP22" s="40">
        <v>0</v>
      </c>
      <c r="AQ22" s="19"/>
      <c r="AR22" s="82"/>
      <c r="AS22" s="83" t="s">
        <v>37</v>
      </c>
      <c r="AT22" s="84">
        <f>AT23+AT24+AT25+AT26</f>
        <v>7210</v>
      </c>
      <c r="AU22" s="85">
        <f t="shared" si="3"/>
        <v>0</v>
      </c>
      <c r="AV22" s="86">
        <f>AV23+AV24+AV25+AV26</f>
        <v>1632.09</v>
      </c>
      <c r="AW22" s="87">
        <f t="shared" si="4"/>
        <v>0</v>
      </c>
      <c r="AX22" s="153" t="s">
        <v>28</v>
      </c>
      <c r="AY22" s="18" t="s">
        <v>21</v>
      </c>
    </row>
    <row r="23" spans="1:51" ht="26.25" customHeight="1" x14ac:dyDescent="0.25">
      <c r="A23" s="168"/>
      <c r="B23" s="154"/>
      <c r="C23" s="18" t="s">
        <v>22</v>
      </c>
      <c r="D23" s="51">
        <f>G23+J23+M23+P23+S23+V23+Y23+AB23+AE23+AH23+AK23+AN23</f>
        <v>7210</v>
      </c>
      <c r="E23" s="51">
        <f t="shared" si="1"/>
        <v>1632.0900000000001</v>
      </c>
      <c r="F23" s="33">
        <f t="shared" si="2"/>
        <v>22.636477115117895</v>
      </c>
      <c r="G23" s="38">
        <v>0</v>
      </c>
      <c r="H23" s="33">
        <v>0</v>
      </c>
      <c r="I23" s="35"/>
      <c r="J23" s="38">
        <v>150</v>
      </c>
      <c r="K23" s="35">
        <v>40.53</v>
      </c>
      <c r="L23" s="35">
        <v>0</v>
      </c>
      <c r="M23" s="38">
        <v>895.4</v>
      </c>
      <c r="N23" s="33">
        <v>631.88</v>
      </c>
      <c r="O23" s="35">
        <v>0</v>
      </c>
      <c r="P23" s="38">
        <v>437</v>
      </c>
      <c r="Q23" s="33">
        <v>241.48</v>
      </c>
      <c r="R23" s="36">
        <f t="shared" si="8"/>
        <v>55.258581235697932</v>
      </c>
      <c r="S23" s="38">
        <f>702.1+54.38</f>
        <v>756.48</v>
      </c>
      <c r="T23" s="119">
        <v>718.2</v>
      </c>
      <c r="U23" s="35">
        <f t="shared" si="9"/>
        <v>94.939720812182742</v>
      </c>
      <c r="V23" s="38">
        <f>1197+54.38+221.43</f>
        <v>1472.8100000000002</v>
      </c>
      <c r="W23" s="48">
        <v>0</v>
      </c>
      <c r="X23" s="35">
        <f t="shared" si="10"/>
        <v>0</v>
      </c>
      <c r="Y23" s="38">
        <f>400+54.38+221.43</f>
        <v>675.81</v>
      </c>
      <c r="Z23" s="39">
        <v>0</v>
      </c>
      <c r="AA23" s="35">
        <v>0</v>
      </c>
      <c r="AB23" s="38">
        <f>425.5+54.38+221.43</f>
        <v>701.31</v>
      </c>
      <c r="AC23" s="39">
        <v>0</v>
      </c>
      <c r="AD23" s="35">
        <f t="shared" si="12"/>
        <v>0</v>
      </c>
      <c r="AE23" s="38">
        <f>318+54.38+221.43</f>
        <v>593.80999999999995</v>
      </c>
      <c r="AF23" s="39">
        <v>0</v>
      </c>
      <c r="AG23" s="35">
        <f t="shared" si="13"/>
        <v>0</v>
      </c>
      <c r="AH23" s="38">
        <f>100+54.38+221.43</f>
        <v>375.81</v>
      </c>
      <c r="AI23" s="39">
        <v>0</v>
      </c>
      <c r="AJ23" s="35">
        <f t="shared" si="14"/>
        <v>0</v>
      </c>
      <c r="AK23" s="38">
        <f>200+54.38+221.43</f>
        <v>475.81</v>
      </c>
      <c r="AL23" s="39">
        <v>0</v>
      </c>
      <c r="AM23" s="35">
        <f t="shared" si="15"/>
        <v>0</v>
      </c>
      <c r="AN23" s="93">
        <f>400+54.34+221.42</f>
        <v>675.76</v>
      </c>
      <c r="AO23" s="39">
        <v>0</v>
      </c>
      <c r="AP23" s="89">
        <v>0</v>
      </c>
      <c r="AQ23" s="22"/>
      <c r="AR23" s="10"/>
      <c r="AS23" s="62" t="s">
        <v>38</v>
      </c>
      <c r="AT23" s="66">
        <v>7210</v>
      </c>
      <c r="AU23" s="59">
        <f t="shared" si="3"/>
        <v>0</v>
      </c>
      <c r="AV23" s="68">
        <v>1632.09</v>
      </c>
      <c r="AW23" s="61">
        <f t="shared" si="4"/>
        <v>0</v>
      </c>
      <c r="AX23" s="154"/>
      <c r="AY23" s="18" t="s">
        <v>22</v>
      </c>
    </row>
    <row r="24" spans="1:51" ht="26.25" customHeight="1" x14ac:dyDescent="0.25">
      <c r="A24" s="168"/>
      <c r="B24" s="154"/>
      <c r="C24" s="21" t="s">
        <v>23</v>
      </c>
      <c r="D24" s="51">
        <f>G24+J24+M24+P24+S24+V24+Y24+AB24+AE24+AH24+AK24+AN24</f>
        <v>0</v>
      </c>
      <c r="E24" s="51">
        <f t="shared" si="1"/>
        <v>0</v>
      </c>
      <c r="F24" s="33">
        <v>0</v>
      </c>
      <c r="G24" s="38">
        <v>0</v>
      </c>
      <c r="H24" s="33">
        <v>0</v>
      </c>
      <c r="I24" s="35">
        <v>0</v>
      </c>
      <c r="J24" s="38">
        <v>0</v>
      </c>
      <c r="K24" s="35">
        <v>0</v>
      </c>
      <c r="L24" s="35">
        <v>0</v>
      </c>
      <c r="M24" s="38">
        <v>0</v>
      </c>
      <c r="N24" s="39">
        <v>0</v>
      </c>
      <c r="O24" s="35">
        <v>0</v>
      </c>
      <c r="P24" s="38">
        <v>0</v>
      </c>
      <c r="Q24" s="39">
        <v>0</v>
      </c>
      <c r="R24" s="36">
        <v>0</v>
      </c>
      <c r="S24" s="38">
        <v>0</v>
      </c>
      <c r="T24" s="39">
        <v>0</v>
      </c>
      <c r="U24" s="35">
        <v>0</v>
      </c>
      <c r="V24" s="38">
        <v>0</v>
      </c>
      <c r="W24" s="48">
        <v>0</v>
      </c>
      <c r="X24" s="35">
        <v>0</v>
      </c>
      <c r="Y24" s="38">
        <v>0</v>
      </c>
      <c r="Z24" s="39">
        <v>0</v>
      </c>
      <c r="AA24" s="35">
        <v>0</v>
      </c>
      <c r="AB24" s="38">
        <v>0</v>
      </c>
      <c r="AC24" s="39">
        <v>0</v>
      </c>
      <c r="AD24" s="35">
        <v>0</v>
      </c>
      <c r="AE24" s="38">
        <v>0</v>
      </c>
      <c r="AF24" s="39">
        <v>0</v>
      </c>
      <c r="AG24" s="35">
        <v>0</v>
      </c>
      <c r="AH24" s="38">
        <v>0</v>
      </c>
      <c r="AI24" s="39">
        <v>0</v>
      </c>
      <c r="AJ24" s="35">
        <v>0</v>
      </c>
      <c r="AK24" s="38">
        <v>0</v>
      </c>
      <c r="AL24" s="39">
        <v>0</v>
      </c>
      <c r="AM24" s="35">
        <v>0</v>
      </c>
      <c r="AN24" s="93">
        <v>0</v>
      </c>
      <c r="AO24" s="39">
        <v>0</v>
      </c>
      <c r="AP24" s="89">
        <v>0</v>
      </c>
      <c r="AQ24" s="23"/>
      <c r="AR24" s="10"/>
      <c r="AS24" s="62" t="s">
        <v>39</v>
      </c>
      <c r="AT24" s="66">
        <v>0</v>
      </c>
      <c r="AU24" s="59">
        <f t="shared" si="3"/>
        <v>0</v>
      </c>
      <c r="AV24" s="68">
        <v>0</v>
      </c>
      <c r="AW24" s="61">
        <f t="shared" si="4"/>
        <v>0</v>
      </c>
      <c r="AX24" s="154"/>
      <c r="AY24" s="21" t="s">
        <v>23</v>
      </c>
    </row>
    <row r="25" spans="1:51" ht="26.25" customHeight="1" x14ac:dyDescent="0.25">
      <c r="A25" s="168"/>
      <c r="B25" s="154"/>
      <c r="C25" s="21" t="s">
        <v>24</v>
      </c>
      <c r="D25" s="51">
        <f t="shared" si="5"/>
        <v>0</v>
      </c>
      <c r="E25" s="51">
        <f t="shared" si="1"/>
        <v>0</v>
      </c>
      <c r="F25" s="33">
        <v>0</v>
      </c>
      <c r="G25" s="38">
        <v>0</v>
      </c>
      <c r="H25" s="33">
        <v>0</v>
      </c>
      <c r="I25" s="35">
        <v>0</v>
      </c>
      <c r="J25" s="38">
        <v>0</v>
      </c>
      <c r="K25" s="35">
        <v>0</v>
      </c>
      <c r="L25" s="35">
        <v>0</v>
      </c>
      <c r="M25" s="38">
        <v>0</v>
      </c>
      <c r="N25" s="39">
        <v>0</v>
      </c>
      <c r="O25" s="35">
        <v>0</v>
      </c>
      <c r="P25" s="38">
        <v>0</v>
      </c>
      <c r="Q25" s="39">
        <v>0</v>
      </c>
      <c r="R25" s="36">
        <v>0</v>
      </c>
      <c r="S25" s="38">
        <v>0</v>
      </c>
      <c r="T25" s="39">
        <v>0</v>
      </c>
      <c r="U25" s="35">
        <v>0</v>
      </c>
      <c r="V25" s="38">
        <v>0</v>
      </c>
      <c r="W25" s="48">
        <v>0</v>
      </c>
      <c r="X25" s="35">
        <v>0</v>
      </c>
      <c r="Y25" s="38">
        <v>0</v>
      </c>
      <c r="Z25" s="39">
        <v>0</v>
      </c>
      <c r="AA25" s="35">
        <v>0</v>
      </c>
      <c r="AB25" s="38">
        <v>0</v>
      </c>
      <c r="AC25" s="39">
        <v>0</v>
      </c>
      <c r="AD25" s="35">
        <v>0</v>
      </c>
      <c r="AE25" s="38">
        <v>0</v>
      </c>
      <c r="AF25" s="39">
        <v>0</v>
      </c>
      <c r="AG25" s="35">
        <v>0</v>
      </c>
      <c r="AH25" s="38">
        <v>0</v>
      </c>
      <c r="AI25" s="39">
        <v>0</v>
      </c>
      <c r="AJ25" s="35">
        <v>0</v>
      </c>
      <c r="AK25" s="38">
        <v>0</v>
      </c>
      <c r="AL25" s="39">
        <v>0</v>
      </c>
      <c r="AM25" s="35">
        <v>0</v>
      </c>
      <c r="AN25" s="93">
        <v>0</v>
      </c>
      <c r="AO25" s="39">
        <v>0</v>
      </c>
      <c r="AP25" s="39">
        <v>0</v>
      </c>
      <c r="AQ25" s="23"/>
      <c r="AR25" s="10"/>
      <c r="AS25" s="62" t="s">
        <v>40</v>
      </c>
      <c r="AT25" s="58">
        <v>0</v>
      </c>
      <c r="AU25" s="59">
        <f t="shared" si="3"/>
        <v>0</v>
      </c>
      <c r="AV25" s="60">
        <v>0</v>
      </c>
      <c r="AW25" s="61">
        <f t="shared" si="4"/>
        <v>0</v>
      </c>
      <c r="AX25" s="154"/>
      <c r="AY25" s="21" t="s">
        <v>24</v>
      </c>
    </row>
    <row r="26" spans="1:51" ht="26.25" customHeight="1" x14ac:dyDescent="0.25">
      <c r="A26" s="169"/>
      <c r="B26" s="155"/>
      <c r="C26" s="18" t="s">
        <v>25</v>
      </c>
      <c r="D26" s="51">
        <f t="shared" si="5"/>
        <v>0</v>
      </c>
      <c r="E26" s="51">
        <f t="shared" si="1"/>
        <v>0</v>
      </c>
      <c r="F26" s="33">
        <v>0</v>
      </c>
      <c r="G26" s="38">
        <v>0</v>
      </c>
      <c r="H26" s="33">
        <v>0</v>
      </c>
      <c r="I26" s="35">
        <v>0</v>
      </c>
      <c r="J26" s="38">
        <v>0</v>
      </c>
      <c r="K26" s="35">
        <v>0</v>
      </c>
      <c r="L26" s="35">
        <v>0</v>
      </c>
      <c r="M26" s="38">
        <v>0</v>
      </c>
      <c r="N26" s="39">
        <v>0</v>
      </c>
      <c r="O26" s="35">
        <v>0</v>
      </c>
      <c r="P26" s="38">
        <v>0</v>
      </c>
      <c r="Q26" s="39">
        <v>0</v>
      </c>
      <c r="R26" s="36">
        <v>0</v>
      </c>
      <c r="S26" s="38">
        <v>0</v>
      </c>
      <c r="T26" s="39">
        <v>0</v>
      </c>
      <c r="U26" s="35">
        <v>0</v>
      </c>
      <c r="V26" s="38">
        <v>0</v>
      </c>
      <c r="W26" s="48">
        <v>0</v>
      </c>
      <c r="X26" s="35">
        <v>0</v>
      </c>
      <c r="Y26" s="38">
        <v>0</v>
      </c>
      <c r="Z26" s="39">
        <v>0</v>
      </c>
      <c r="AA26" s="35">
        <v>0</v>
      </c>
      <c r="AB26" s="38">
        <v>0</v>
      </c>
      <c r="AC26" s="39">
        <v>0</v>
      </c>
      <c r="AD26" s="35">
        <v>0</v>
      </c>
      <c r="AE26" s="38">
        <v>0</v>
      </c>
      <c r="AF26" s="39">
        <v>0</v>
      </c>
      <c r="AG26" s="35">
        <v>0</v>
      </c>
      <c r="AH26" s="38">
        <v>0</v>
      </c>
      <c r="AI26" s="39">
        <v>0</v>
      </c>
      <c r="AJ26" s="35">
        <v>0</v>
      </c>
      <c r="AK26" s="38">
        <v>0</v>
      </c>
      <c r="AL26" s="39">
        <v>0</v>
      </c>
      <c r="AM26" s="35">
        <v>0</v>
      </c>
      <c r="AN26" s="93">
        <v>0</v>
      </c>
      <c r="AO26" s="39">
        <v>0</v>
      </c>
      <c r="AP26" s="39">
        <v>0</v>
      </c>
      <c r="AQ26" s="23"/>
      <c r="AR26" s="10"/>
      <c r="AS26" s="57" t="s">
        <v>41</v>
      </c>
      <c r="AT26" s="58">
        <v>0</v>
      </c>
      <c r="AU26" s="59">
        <f t="shared" si="3"/>
        <v>0</v>
      </c>
      <c r="AV26" s="60">
        <v>0</v>
      </c>
      <c r="AW26" s="61">
        <f t="shared" si="4"/>
        <v>0</v>
      </c>
      <c r="AX26" s="155"/>
      <c r="AY26" s="18" t="s">
        <v>25</v>
      </c>
    </row>
    <row r="27" spans="1:51" ht="39" customHeight="1" x14ac:dyDescent="0.25">
      <c r="A27" s="167" t="s">
        <v>31</v>
      </c>
      <c r="B27" s="153" t="s">
        <v>100</v>
      </c>
      <c r="C27" s="24" t="s">
        <v>21</v>
      </c>
      <c r="D27" s="50">
        <f>G27+J27+M27+P27+S27+V27+Y27+AB27+AE27+AH27+AK27+AN27</f>
        <v>405224.04000000004</v>
      </c>
      <c r="E27" s="49">
        <f t="shared" si="1"/>
        <v>146248.89000000001</v>
      </c>
      <c r="F27" s="40">
        <f t="shared" si="2"/>
        <v>36.0908721012702</v>
      </c>
      <c r="G27" s="42">
        <f>G28+G29</f>
        <v>13280.8</v>
      </c>
      <c r="H27" s="42">
        <f>H28+H29+H30+H31</f>
        <v>19047.900000000001</v>
      </c>
      <c r="I27" s="41">
        <f t="shared" si="19"/>
        <v>143.42434190711404</v>
      </c>
      <c r="J27" s="42">
        <f>J28+J29</f>
        <v>32635.8</v>
      </c>
      <c r="K27" s="41">
        <f>K28+K29+K30+K31</f>
        <v>21818.799999999999</v>
      </c>
      <c r="L27" s="41">
        <f t="shared" si="6"/>
        <v>66.855416444517985</v>
      </c>
      <c r="M27" s="42">
        <f>M28+M29</f>
        <v>35797.5</v>
      </c>
      <c r="N27" s="42">
        <f>N28+N29+N30+N31</f>
        <v>30671.88</v>
      </c>
      <c r="O27" s="41">
        <f t="shared" si="7"/>
        <v>85.681625811858382</v>
      </c>
      <c r="P27" s="42">
        <f>P28+P29</f>
        <v>34262.899999999994</v>
      </c>
      <c r="Q27" s="42">
        <f>Q28+Q29+Q30</f>
        <v>44236.71</v>
      </c>
      <c r="R27" s="41">
        <f t="shared" si="8"/>
        <v>129.10964921241344</v>
      </c>
      <c r="S27" s="42">
        <f>S28+S29</f>
        <v>41712.299999999996</v>
      </c>
      <c r="T27" s="42">
        <f>T28+T29+T30+T31</f>
        <v>30473.599999999999</v>
      </c>
      <c r="U27" s="41">
        <f t="shared" si="9"/>
        <v>73.056628380597573</v>
      </c>
      <c r="V27" s="42">
        <f>V28+V29</f>
        <v>45118.53</v>
      </c>
      <c r="W27" s="50">
        <f>W28+W29+W30+W31</f>
        <v>0</v>
      </c>
      <c r="X27" s="41">
        <f t="shared" si="10"/>
        <v>0</v>
      </c>
      <c r="Y27" s="42">
        <f>Y28+Y29</f>
        <v>38073.140000000007</v>
      </c>
      <c r="Z27" s="42">
        <f>Z28+Z29</f>
        <v>0</v>
      </c>
      <c r="AA27" s="41">
        <f t="shared" si="11"/>
        <v>0</v>
      </c>
      <c r="AB27" s="42">
        <f>AB28+AB29</f>
        <v>38350.340000000004</v>
      </c>
      <c r="AC27" s="40">
        <f>AC28+AC29</f>
        <v>0</v>
      </c>
      <c r="AD27" s="41">
        <f t="shared" si="12"/>
        <v>0</v>
      </c>
      <c r="AE27" s="42">
        <f>AE28+AE29</f>
        <v>33948.44</v>
      </c>
      <c r="AF27" s="42">
        <f>AF28+AF29</f>
        <v>0</v>
      </c>
      <c r="AG27" s="41">
        <f t="shared" si="13"/>
        <v>0</v>
      </c>
      <c r="AH27" s="42">
        <f>AH28+AH29</f>
        <v>31320.44</v>
      </c>
      <c r="AI27" s="42">
        <f>AI28+AI29</f>
        <v>0</v>
      </c>
      <c r="AJ27" s="41">
        <f t="shared" si="14"/>
        <v>0</v>
      </c>
      <c r="AK27" s="42">
        <f>AK28+AK29</f>
        <v>32213.34</v>
      </c>
      <c r="AL27" s="42">
        <f>AL28+AL29</f>
        <v>0</v>
      </c>
      <c r="AM27" s="41">
        <f t="shared" si="15"/>
        <v>0</v>
      </c>
      <c r="AN27" s="95">
        <f>AN28+AN29</f>
        <v>28510.510000000002</v>
      </c>
      <c r="AO27" s="42">
        <v>0</v>
      </c>
      <c r="AP27" s="42">
        <v>0</v>
      </c>
      <c r="AQ27" s="19"/>
      <c r="AR27" s="88"/>
      <c r="AS27" s="83" t="s">
        <v>37</v>
      </c>
      <c r="AT27" s="84">
        <f>AT28+AT29+AT30+AT31</f>
        <v>405224.04</v>
      </c>
      <c r="AU27" s="85">
        <f>AT27-D27</f>
        <v>0</v>
      </c>
      <c r="AV27" s="86">
        <f>AV28+AV29+AV30+AV31</f>
        <v>146248.89000000001</v>
      </c>
      <c r="AW27" s="87">
        <f>AV27-E27</f>
        <v>0</v>
      </c>
      <c r="AX27" s="153" t="s">
        <v>100</v>
      </c>
      <c r="AY27" s="24" t="s">
        <v>21</v>
      </c>
    </row>
    <row r="28" spans="1:51" ht="26.25" customHeight="1" x14ac:dyDescent="0.25">
      <c r="A28" s="168"/>
      <c r="B28" s="154"/>
      <c r="C28" s="18" t="s">
        <v>22</v>
      </c>
      <c r="D28" s="52">
        <f>G28+J28+M28+P28+S28+V28+Y28+AB28+AE28+AH28+AK28+AN28</f>
        <v>405224.04000000004</v>
      </c>
      <c r="E28" s="51">
        <f>H28+K28+N28+Q28+T28+W28+Z28+AC28+AF28+AI28+AL28+AO28</f>
        <v>146248.89000000001</v>
      </c>
      <c r="F28" s="33">
        <v>0</v>
      </c>
      <c r="G28" s="38">
        <v>13280.8</v>
      </c>
      <c r="H28" s="33">
        <v>19047.900000000001</v>
      </c>
      <c r="I28" s="35">
        <f>H28/G28*100</f>
        <v>143.42434190711404</v>
      </c>
      <c r="J28" s="38">
        <f>32638.8-3</f>
        <v>32635.8</v>
      </c>
      <c r="K28" s="35">
        <v>21818.799999999999</v>
      </c>
      <c r="L28" s="35">
        <v>0</v>
      </c>
      <c r="M28" s="38">
        <v>35797.5</v>
      </c>
      <c r="N28" s="33">
        <v>30671.88</v>
      </c>
      <c r="O28" s="35">
        <v>0</v>
      </c>
      <c r="P28" s="38">
        <f>33901.7+361.2</f>
        <v>34262.899999999994</v>
      </c>
      <c r="Q28" s="33">
        <v>44236.71</v>
      </c>
      <c r="R28" s="36">
        <f t="shared" si="8"/>
        <v>129.10964921241344</v>
      </c>
      <c r="S28" s="38">
        <f>41351.1+361.2</f>
        <v>41712.299999999996</v>
      </c>
      <c r="T28" s="119">
        <v>30473.599999999999</v>
      </c>
      <c r="U28" s="35">
        <f t="shared" si="9"/>
        <v>73.056628380597573</v>
      </c>
      <c r="V28" s="38">
        <f>44739.7+361.22+17.61</f>
        <v>45118.53</v>
      </c>
      <c r="W28" s="48">
        <v>0</v>
      </c>
      <c r="X28" s="35">
        <v>0</v>
      </c>
      <c r="Y28" s="38">
        <f>37694.3+361.23+17.61</f>
        <v>38073.140000000007</v>
      </c>
      <c r="Z28" s="39">
        <v>0</v>
      </c>
      <c r="AA28" s="35">
        <f t="shared" si="11"/>
        <v>0</v>
      </c>
      <c r="AB28" s="38">
        <f>37971.5+361.23+17.61</f>
        <v>38350.340000000004</v>
      </c>
      <c r="AC28" s="39">
        <v>0</v>
      </c>
      <c r="AD28" s="35">
        <v>0</v>
      </c>
      <c r="AE28" s="38">
        <f>33569.6+361.23+17.61</f>
        <v>33948.44</v>
      </c>
      <c r="AF28" s="39">
        <v>0</v>
      </c>
      <c r="AG28" s="35">
        <v>0</v>
      </c>
      <c r="AH28" s="38">
        <f>30941.6+361.23+17.61</f>
        <v>31320.44</v>
      </c>
      <c r="AI28" s="39">
        <v>0</v>
      </c>
      <c r="AJ28" s="35">
        <v>0</v>
      </c>
      <c r="AK28" s="38">
        <f>31834.5+361.23+17.61</f>
        <v>32213.34</v>
      </c>
      <c r="AL28" s="39">
        <v>0</v>
      </c>
      <c r="AM28" s="35">
        <v>0</v>
      </c>
      <c r="AN28" s="93">
        <f>28131.7+361.23+17.58</f>
        <v>28510.510000000002</v>
      </c>
      <c r="AO28" s="39">
        <v>0</v>
      </c>
      <c r="AP28" s="89">
        <v>0</v>
      </c>
      <c r="AQ28" s="22"/>
      <c r="AR28" s="10"/>
      <c r="AS28" s="62" t="s">
        <v>38</v>
      </c>
      <c r="AT28" s="66">
        <v>405224.04</v>
      </c>
      <c r="AU28" s="59">
        <f t="shared" si="3"/>
        <v>0</v>
      </c>
      <c r="AV28" s="68">
        <v>146248.89000000001</v>
      </c>
      <c r="AW28" s="61">
        <f>AV28-E28</f>
        <v>0</v>
      </c>
      <c r="AX28" s="154"/>
      <c r="AY28" s="18" t="s">
        <v>22</v>
      </c>
    </row>
    <row r="29" spans="1:51" ht="26.25" customHeight="1" x14ac:dyDescent="0.25">
      <c r="A29" s="168"/>
      <c r="B29" s="154"/>
      <c r="C29" s="21" t="s">
        <v>23</v>
      </c>
      <c r="D29" s="52">
        <f>G29+J29+M29+P29+S29+V29+Y29+AB29+AE29+AH29+AK29+AN29</f>
        <v>0</v>
      </c>
      <c r="E29" s="51">
        <f t="shared" si="1"/>
        <v>0</v>
      </c>
      <c r="F29" s="33" t="e">
        <f t="shared" si="2"/>
        <v>#DIV/0!</v>
      </c>
      <c r="G29" s="38">
        <v>0</v>
      </c>
      <c r="H29" s="33">
        <v>0</v>
      </c>
      <c r="I29" s="35" t="e">
        <f t="shared" si="19"/>
        <v>#DIV/0!</v>
      </c>
      <c r="J29" s="38">
        <v>0</v>
      </c>
      <c r="K29" s="35">
        <v>0</v>
      </c>
      <c r="L29" s="35" t="e">
        <f t="shared" si="6"/>
        <v>#DIV/0!</v>
      </c>
      <c r="M29" s="38">
        <v>0</v>
      </c>
      <c r="N29" s="39">
        <v>0</v>
      </c>
      <c r="O29" s="35" t="e">
        <f t="shared" si="7"/>
        <v>#DIV/0!</v>
      </c>
      <c r="P29" s="38">
        <v>0</v>
      </c>
      <c r="Q29" s="39">
        <v>0</v>
      </c>
      <c r="R29" s="36" t="e">
        <f t="shared" si="8"/>
        <v>#DIV/0!</v>
      </c>
      <c r="S29" s="38">
        <v>0</v>
      </c>
      <c r="T29" s="39">
        <v>0</v>
      </c>
      <c r="U29" s="35" t="e">
        <f t="shared" si="9"/>
        <v>#DIV/0!</v>
      </c>
      <c r="V29" s="38">
        <v>0</v>
      </c>
      <c r="W29" s="48">
        <v>0</v>
      </c>
      <c r="X29" s="35" t="e">
        <f t="shared" si="10"/>
        <v>#DIV/0!</v>
      </c>
      <c r="Y29" s="38">
        <v>0</v>
      </c>
      <c r="Z29" s="39">
        <v>0</v>
      </c>
      <c r="AA29" s="35" t="e">
        <f t="shared" si="11"/>
        <v>#DIV/0!</v>
      </c>
      <c r="AB29" s="38">
        <v>0</v>
      </c>
      <c r="AC29" s="39">
        <v>0</v>
      </c>
      <c r="AD29" s="35" t="e">
        <f t="shared" si="12"/>
        <v>#DIV/0!</v>
      </c>
      <c r="AE29" s="38">
        <v>0</v>
      </c>
      <c r="AF29" s="39">
        <v>0</v>
      </c>
      <c r="AG29" s="35" t="e">
        <f t="shared" si="13"/>
        <v>#DIV/0!</v>
      </c>
      <c r="AH29" s="38">
        <v>0</v>
      </c>
      <c r="AI29" s="39">
        <v>0</v>
      </c>
      <c r="AJ29" s="35">
        <v>0</v>
      </c>
      <c r="AK29" s="38">
        <v>0</v>
      </c>
      <c r="AL29" s="39">
        <v>0</v>
      </c>
      <c r="AM29" s="35" t="e">
        <f t="shared" si="15"/>
        <v>#DIV/0!</v>
      </c>
      <c r="AN29" s="93">
        <v>0</v>
      </c>
      <c r="AO29" s="39">
        <v>0</v>
      </c>
      <c r="AP29" s="89">
        <v>0</v>
      </c>
      <c r="AQ29" s="23"/>
      <c r="AR29" s="10"/>
      <c r="AS29" s="62" t="s">
        <v>39</v>
      </c>
      <c r="AT29" s="67">
        <v>0</v>
      </c>
      <c r="AU29" s="59">
        <f>AT29-D29</f>
        <v>0</v>
      </c>
      <c r="AV29" s="69">
        <v>0</v>
      </c>
      <c r="AW29" s="61">
        <f t="shared" si="4"/>
        <v>0</v>
      </c>
      <c r="AX29" s="154"/>
      <c r="AY29" s="21" t="s">
        <v>23</v>
      </c>
    </row>
    <row r="30" spans="1:51" ht="26.25" customHeight="1" x14ac:dyDescent="0.25">
      <c r="A30" s="168"/>
      <c r="B30" s="154"/>
      <c r="C30" s="21" t="s">
        <v>24</v>
      </c>
      <c r="D30" s="52">
        <f t="shared" ref="D30:D31" si="20">G30+J30+M30+P30+S30+V30+Y30+AB30+AE30+AH30+AK30+AN30</f>
        <v>0</v>
      </c>
      <c r="E30" s="51">
        <f t="shared" si="1"/>
        <v>0</v>
      </c>
      <c r="F30" s="33">
        <v>0</v>
      </c>
      <c r="G30" s="38">
        <v>0</v>
      </c>
      <c r="H30" s="33">
        <v>0</v>
      </c>
      <c r="I30" s="35">
        <v>0</v>
      </c>
      <c r="J30" s="38">
        <v>0</v>
      </c>
      <c r="K30" s="35">
        <v>0</v>
      </c>
      <c r="L30" s="35">
        <v>0</v>
      </c>
      <c r="M30" s="38">
        <v>0</v>
      </c>
      <c r="N30" s="39">
        <v>0</v>
      </c>
      <c r="O30" s="35">
        <v>0</v>
      </c>
      <c r="P30" s="38">
        <v>0</v>
      </c>
      <c r="Q30" s="39">
        <v>0</v>
      </c>
      <c r="R30" s="36">
        <v>0</v>
      </c>
      <c r="S30" s="38">
        <v>0</v>
      </c>
      <c r="T30" s="39">
        <v>0</v>
      </c>
      <c r="U30" s="35">
        <v>0</v>
      </c>
      <c r="V30" s="38">
        <v>0</v>
      </c>
      <c r="W30" s="48">
        <v>0</v>
      </c>
      <c r="X30" s="35">
        <v>0</v>
      </c>
      <c r="Y30" s="38">
        <v>0</v>
      </c>
      <c r="Z30" s="39">
        <v>0</v>
      </c>
      <c r="AA30" s="35">
        <v>0</v>
      </c>
      <c r="AB30" s="38">
        <v>0</v>
      </c>
      <c r="AC30" s="96">
        <v>0</v>
      </c>
      <c r="AD30" s="35">
        <v>0</v>
      </c>
      <c r="AE30" s="38">
        <v>0</v>
      </c>
      <c r="AF30" s="39">
        <v>0</v>
      </c>
      <c r="AG30" s="35">
        <v>0</v>
      </c>
      <c r="AH30" s="38">
        <v>0</v>
      </c>
      <c r="AI30" s="39">
        <v>0</v>
      </c>
      <c r="AJ30" s="35">
        <v>0</v>
      </c>
      <c r="AK30" s="38">
        <v>0</v>
      </c>
      <c r="AL30" s="39">
        <v>0</v>
      </c>
      <c r="AM30" s="35">
        <v>0</v>
      </c>
      <c r="AN30" s="93">
        <v>0</v>
      </c>
      <c r="AO30" s="39">
        <v>0</v>
      </c>
      <c r="AP30" s="39">
        <v>0</v>
      </c>
      <c r="AQ30" s="23"/>
      <c r="AR30" s="10"/>
      <c r="AS30" s="62" t="s">
        <v>40</v>
      </c>
      <c r="AT30" s="63">
        <v>0</v>
      </c>
      <c r="AU30" s="59">
        <f t="shared" si="3"/>
        <v>0</v>
      </c>
      <c r="AV30" s="64">
        <v>0</v>
      </c>
      <c r="AW30" s="61">
        <f t="shared" si="4"/>
        <v>0</v>
      </c>
      <c r="AX30" s="154"/>
      <c r="AY30" s="21" t="s">
        <v>24</v>
      </c>
    </row>
    <row r="31" spans="1:51" ht="26.25" customHeight="1" x14ac:dyDescent="0.25">
      <c r="A31" s="169"/>
      <c r="B31" s="155"/>
      <c r="C31" s="18" t="s">
        <v>25</v>
      </c>
      <c r="D31" s="52">
        <f t="shared" si="20"/>
        <v>0</v>
      </c>
      <c r="E31" s="51">
        <f t="shared" si="1"/>
        <v>0</v>
      </c>
      <c r="F31" s="33">
        <v>0</v>
      </c>
      <c r="G31" s="38">
        <v>0</v>
      </c>
      <c r="H31" s="33">
        <v>0</v>
      </c>
      <c r="I31" s="35">
        <v>0</v>
      </c>
      <c r="J31" s="38">
        <v>0</v>
      </c>
      <c r="K31" s="35">
        <v>0</v>
      </c>
      <c r="L31" s="35">
        <v>0</v>
      </c>
      <c r="M31" s="38">
        <v>0</v>
      </c>
      <c r="N31" s="39">
        <v>0</v>
      </c>
      <c r="O31" s="35">
        <v>0</v>
      </c>
      <c r="P31" s="38">
        <v>0</v>
      </c>
      <c r="Q31" s="39">
        <v>0</v>
      </c>
      <c r="R31" s="36">
        <v>0</v>
      </c>
      <c r="S31" s="38">
        <v>0</v>
      </c>
      <c r="T31" s="39">
        <v>0</v>
      </c>
      <c r="U31" s="35">
        <v>0</v>
      </c>
      <c r="V31" s="38">
        <v>0</v>
      </c>
      <c r="W31" s="48">
        <v>0</v>
      </c>
      <c r="X31" s="35">
        <v>0</v>
      </c>
      <c r="Y31" s="38">
        <v>0</v>
      </c>
      <c r="Z31" s="39">
        <v>0</v>
      </c>
      <c r="AA31" s="35">
        <v>0</v>
      </c>
      <c r="AB31" s="93">
        <v>0</v>
      </c>
      <c r="AC31" s="39">
        <v>0</v>
      </c>
      <c r="AD31" s="35">
        <v>0</v>
      </c>
      <c r="AE31" s="38">
        <v>0</v>
      </c>
      <c r="AF31" s="39">
        <v>0</v>
      </c>
      <c r="AG31" s="35">
        <v>0</v>
      </c>
      <c r="AH31" s="38">
        <v>0</v>
      </c>
      <c r="AI31" s="39">
        <v>0</v>
      </c>
      <c r="AJ31" s="35">
        <v>0</v>
      </c>
      <c r="AK31" s="38">
        <v>0</v>
      </c>
      <c r="AL31" s="39">
        <v>0</v>
      </c>
      <c r="AM31" s="35">
        <v>0</v>
      </c>
      <c r="AN31" s="38">
        <v>0</v>
      </c>
      <c r="AO31" s="39">
        <v>0</v>
      </c>
      <c r="AP31" s="39">
        <v>0</v>
      </c>
      <c r="AQ31" s="23"/>
      <c r="AR31" s="10"/>
      <c r="AS31" s="57" t="s">
        <v>41</v>
      </c>
      <c r="AT31" s="64">
        <v>0</v>
      </c>
      <c r="AU31" s="59">
        <f t="shared" si="3"/>
        <v>0</v>
      </c>
      <c r="AV31" s="64">
        <v>0</v>
      </c>
      <c r="AW31" s="61">
        <f t="shared" si="4"/>
        <v>0</v>
      </c>
      <c r="AX31" s="155"/>
      <c r="AY31" s="18" t="s">
        <v>25</v>
      </c>
    </row>
    <row r="32" spans="1:51" ht="15.75" x14ac:dyDescent="0.25">
      <c r="A32" s="3"/>
      <c r="B32" s="132"/>
      <c r="C32" s="131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7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7"/>
      <c r="AO32" s="27"/>
      <c r="AP32" s="28"/>
      <c r="AQ32" s="28"/>
      <c r="AR32" s="3"/>
      <c r="AS32" s="55"/>
      <c r="AT32" s="55"/>
      <c r="AU32" s="55"/>
      <c r="AV32" s="55"/>
      <c r="AW32" s="65"/>
      <c r="AX32" s="3"/>
      <c r="AY32" s="3"/>
    </row>
    <row r="33" spans="1:51" ht="15.75" x14ac:dyDescent="0.25">
      <c r="A33" s="3"/>
      <c r="B33" s="170" t="s">
        <v>44</v>
      </c>
      <c r="C33" s="170"/>
      <c r="D33" s="170"/>
      <c r="E33" s="170"/>
      <c r="F33" s="170"/>
      <c r="G33" s="170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7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7"/>
      <c r="AO33" s="27"/>
      <c r="AP33" s="28"/>
      <c r="AQ33" s="28"/>
      <c r="AR33" s="3"/>
      <c r="AS33" s="55"/>
      <c r="AT33" s="55"/>
      <c r="AU33" s="55"/>
      <c r="AV33" s="55"/>
      <c r="AW33" s="65"/>
      <c r="AX33" s="3"/>
      <c r="AY33" s="3"/>
    </row>
    <row r="34" spans="1:51" ht="32.25" customHeight="1" x14ac:dyDescent="0.25">
      <c r="A34" s="3"/>
      <c r="B34" s="166" t="s">
        <v>42</v>
      </c>
      <c r="C34" s="166"/>
      <c r="D34" s="166"/>
      <c r="E34" s="166"/>
      <c r="F34" s="166"/>
      <c r="G34" s="166"/>
      <c r="H34" s="166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7"/>
      <c r="AP34" s="28"/>
      <c r="AQ34" s="28"/>
      <c r="AR34" s="3"/>
      <c r="AS34" s="55"/>
      <c r="AT34" s="55"/>
      <c r="AU34" s="55"/>
      <c r="AV34" s="55"/>
      <c r="AW34" s="65"/>
      <c r="AX34" s="3"/>
      <c r="AY34" s="3"/>
    </row>
    <row r="35" spans="1:51" x14ac:dyDescent="0.25">
      <c r="B35" t="s">
        <v>45</v>
      </c>
      <c r="G35" s="45"/>
      <c r="M35" s="45"/>
    </row>
  </sheetData>
  <mergeCells count="44">
    <mergeCell ref="B34:H34"/>
    <mergeCell ref="A22:A26"/>
    <mergeCell ref="B22:B26"/>
    <mergeCell ref="AX22:AX26"/>
    <mergeCell ref="A27:A31"/>
    <mergeCell ref="B27:B31"/>
    <mergeCell ref="AX27:AX31"/>
    <mergeCell ref="B33:G33"/>
    <mergeCell ref="A17:A21"/>
    <mergeCell ref="B17:B21"/>
    <mergeCell ref="AX17:AX21"/>
    <mergeCell ref="AK10:AM10"/>
    <mergeCell ref="AN10:AP10"/>
    <mergeCell ref="AT10:AT11"/>
    <mergeCell ref="AU10:AU11"/>
    <mergeCell ref="AV10:AV11"/>
    <mergeCell ref="AW10:AW11"/>
    <mergeCell ref="S10:U10"/>
    <mergeCell ref="V10:X10"/>
    <mergeCell ref="AX10:AX11"/>
    <mergeCell ref="AE10:AG10"/>
    <mergeCell ref="AH10:AJ10"/>
    <mergeCell ref="AY10:AY11"/>
    <mergeCell ref="A12:A16"/>
    <mergeCell ref="B12:B16"/>
    <mergeCell ref="AX12:AX16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Y10:AA10"/>
    <mergeCell ref="AB10:AD10"/>
    <mergeCell ref="E6:Y6"/>
    <mergeCell ref="D1:O1"/>
    <mergeCell ref="AL1:AP1"/>
    <mergeCell ref="Z2:AP2"/>
    <mergeCell ref="AL3:AP3"/>
    <mergeCell ref="E5:Y5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68" fitToWidth="0" orientation="landscape" r:id="rId1"/>
  <colBreaks count="2" manualBreakCount="2">
    <brk id="21" max="1048575" man="1"/>
    <brk id="4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5"/>
  <sheetViews>
    <sheetView view="pageBreakPreview" topLeftCell="C1" zoomScale="70" zoomScaleNormal="100" zoomScaleSheetLayoutView="70" workbookViewId="0">
      <selection activeCell="P33" sqref="P33"/>
    </sheetView>
  </sheetViews>
  <sheetFormatPr defaultRowHeight="15" x14ac:dyDescent="0.25"/>
  <cols>
    <col min="1" max="1" width="4.5703125" customWidth="1"/>
    <col min="2" max="2" width="27.28515625" customWidth="1"/>
    <col min="3" max="3" width="9.28515625" customWidth="1"/>
    <col min="4" max="4" width="10.28515625" customWidth="1"/>
    <col min="5" max="5" width="10" customWidth="1"/>
    <col min="6" max="6" width="8.85546875" customWidth="1"/>
    <col min="7" max="8" width="9.28515625" customWidth="1"/>
    <col min="9" max="9" width="9.85546875" customWidth="1"/>
    <col min="10" max="10" width="9.28515625" customWidth="1"/>
    <col min="11" max="11" width="11.28515625" customWidth="1"/>
    <col min="12" max="12" width="9" customWidth="1"/>
    <col min="13" max="13" width="8.28515625" customWidth="1"/>
    <col min="14" max="14" width="8.5703125" style="32" customWidth="1"/>
    <col min="15" max="15" width="8.7109375" customWidth="1"/>
    <col min="16" max="17" width="9.28515625" style="32" customWidth="1"/>
    <col min="18" max="18" width="8" style="32" customWidth="1"/>
    <col min="19" max="19" width="9.28515625" customWidth="1"/>
    <col min="20" max="20" width="9.28515625" style="32" customWidth="1"/>
    <col min="21" max="21" width="10.140625" customWidth="1"/>
    <col min="22" max="22" width="10.85546875" customWidth="1"/>
    <col min="23" max="23" width="8.7109375" customWidth="1"/>
    <col min="24" max="24" width="8" customWidth="1"/>
    <col min="25" max="25" width="9.28515625" customWidth="1"/>
    <col min="26" max="26" width="8.28515625" customWidth="1"/>
    <col min="27" max="28" width="8.42578125" customWidth="1"/>
    <col min="29" max="29" width="9.28515625" customWidth="1"/>
    <col min="30" max="30" width="8.140625" customWidth="1"/>
    <col min="31" max="31" width="11.28515625" customWidth="1"/>
    <col min="32" max="32" width="7.28515625" customWidth="1"/>
    <col min="33" max="33" width="8.140625" customWidth="1"/>
    <col min="34" max="34" width="10.5703125" customWidth="1"/>
    <col min="35" max="35" width="10.42578125" customWidth="1"/>
    <col min="36" max="36" width="5.7109375" customWidth="1"/>
    <col min="37" max="37" width="9.42578125" customWidth="1"/>
    <col min="38" max="38" width="10.28515625" customWidth="1"/>
    <col min="39" max="39" width="8.5703125" customWidth="1"/>
    <col min="40" max="40" width="8.140625" customWidth="1"/>
    <col min="41" max="42" width="4.5703125" customWidth="1"/>
    <col min="43" max="43" width="2.7109375" customWidth="1"/>
  </cols>
  <sheetData>
    <row r="1" spans="1:43" x14ac:dyDescent="0.25">
      <c r="A1" s="4"/>
      <c r="B1" s="97"/>
      <c r="C1" s="98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101"/>
      <c r="Q1" s="101"/>
      <c r="R1" s="8"/>
      <c r="S1" s="8"/>
      <c r="T1" s="8"/>
      <c r="U1" s="8"/>
      <c r="V1" s="8"/>
      <c r="W1" s="9"/>
      <c r="X1" s="8"/>
      <c r="Y1" s="8"/>
      <c r="Z1" s="9"/>
      <c r="AA1" s="9"/>
      <c r="AB1" s="8"/>
      <c r="AC1" s="8"/>
      <c r="AD1" s="8"/>
      <c r="AE1" s="8"/>
      <c r="AF1" s="8"/>
      <c r="AG1" s="8"/>
      <c r="AH1" s="8"/>
      <c r="AI1" s="8"/>
      <c r="AJ1" s="8"/>
      <c r="AK1" s="8"/>
      <c r="AL1" s="243" t="s">
        <v>49</v>
      </c>
      <c r="AM1" s="192"/>
      <c r="AN1" s="192"/>
      <c r="AO1" s="192"/>
      <c r="AP1" s="192"/>
      <c r="AQ1" s="4"/>
    </row>
    <row r="2" spans="1:43" x14ac:dyDescent="0.25">
      <c r="A2" s="4"/>
      <c r="B2" s="97"/>
      <c r="C2" s="98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01"/>
      <c r="Q2" s="101"/>
      <c r="R2" s="8"/>
      <c r="S2" s="8"/>
      <c r="T2" s="8"/>
      <c r="U2" s="8"/>
      <c r="V2" s="8"/>
      <c r="W2" s="9"/>
      <c r="X2" s="8"/>
      <c r="Y2" s="8"/>
      <c r="Z2" s="245" t="s">
        <v>50</v>
      </c>
      <c r="AA2" s="245"/>
      <c r="AB2" s="245"/>
      <c r="AC2" s="245"/>
      <c r="AD2" s="245"/>
      <c r="AE2" s="245"/>
      <c r="AF2" s="245"/>
      <c r="AG2" s="245"/>
      <c r="AH2" s="245"/>
      <c r="AI2" s="245"/>
      <c r="AJ2" s="245"/>
      <c r="AK2" s="245"/>
      <c r="AL2" s="245"/>
      <c r="AM2" s="245"/>
      <c r="AN2" s="245"/>
      <c r="AO2" s="245"/>
      <c r="AP2" s="245"/>
      <c r="AQ2" s="4"/>
    </row>
    <row r="3" spans="1:43" x14ac:dyDescent="0.25">
      <c r="A3" s="4"/>
      <c r="B3" s="97"/>
      <c r="C3" s="98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01"/>
      <c r="Q3" s="101"/>
      <c r="R3" s="8"/>
      <c r="S3" s="8"/>
      <c r="T3" s="8"/>
      <c r="U3" s="8"/>
      <c r="V3" s="8"/>
      <c r="W3" s="9"/>
      <c r="X3" s="8"/>
      <c r="Y3" s="8"/>
      <c r="Z3" s="9"/>
      <c r="AA3" s="9"/>
      <c r="AB3" s="8"/>
      <c r="AC3" s="8"/>
      <c r="AD3" s="8"/>
      <c r="AE3" s="8"/>
      <c r="AF3" s="8"/>
      <c r="AG3" s="8"/>
      <c r="AH3" s="8"/>
      <c r="AI3" s="8"/>
      <c r="AJ3" s="8"/>
      <c r="AK3" s="8"/>
      <c r="AL3" s="243" t="s">
        <v>51</v>
      </c>
      <c r="AM3" s="192"/>
      <c r="AN3" s="192"/>
      <c r="AO3" s="192"/>
      <c r="AP3" s="192"/>
      <c r="AQ3" s="4"/>
    </row>
    <row r="4" spans="1:43" x14ac:dyDescent="0.25">
      <c r="A4" s="4"/>
      <c r="B4" s="97"/>
      <c r="C4" s="98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01"/>
      <c r="Q4" s="101"/>
      <c r="R4" s="8"/>
      <c r="S4" s="8"/>
      <c r="T4" s="8"/>
      <c r="U4" s="8"/>
      <c r="V4" s="8"/>
      <c r="W4" s="9"/>
      <c r="X4" s="8"/>
      <c r="Y4" s="8"/>
      <c r="Z4" s="9"/>
      <c r="AA4" s="9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4"/>
      <c r="AQ4" s="4"/>
    </row>
    <row r="5" spans="1:43" ht="15.75" x14ac:dyDescent="0.25">
      <c r="A5" s="4"/>
      <c r="B5" s="97"/>
      <c r="C5" s="98"/>
      <c r="D5" s="133"/>
      <c r="E5" s="226" t="s">
        <v>46</v>
      </c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9"/>
      <c r="AA5" s="9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4"/>
      <c r="AQ5" s="4"/>
    </row>
    <row r="6" spans="1:43" ht="15.75" x14ac:dyDescent="0.25">
      <c r="A6" s="4"/>
      <c r="B6" s="97"/>
      <c r="C6" s="98"/>
      <c r="D6" s="133"/>
      <c r="E6" s="226" t="s">
        <v>47</v>
      </c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9"/>
      <c r="AA6" s="9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4"/>
      <c r="AQ6" s="4"/>
    </row>
    <row r="7" spans="1:43" ht="15.75" x14ac:dyDescent="0.25">
      <c r="A7" s="4"/>
      <c r="B7" s="97"/>
      <c r="C7" s="98"/>
      <c r="D7" s="133"/>
      <c r="E7" s="226" t="s">
        <v>99</v>
      </c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9"/>
      <c r="AA7" s="9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4"/>
      <c r="AQ7" s="4"/>
    </row>
    <row r="8" spans="1:43" hidden="1" x14ac:dyDescent="0.25">
      <c r="A8" s="4"/>
      <c r="B8" s="97"/>
      <c r="C8" s="98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01"/>
      <c r="Q8" s="101"/>
      <c r="R8" s="8"/>
      <c r="S8" s="8"/>
      <c r="T8" s="8"/>
      <c r="U8" s="8"/>
      <c r="V8" s="8"/>
      <c r="W8" s="9"/>
      <c r="X8" s="8"/>
      <c r="Y8" s="8"/>
      <c r="Z8" s="9"/>
      <c r="AA8" s="9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4"/>
      <c r="AQ8" s="4"/>
    </row>
    <row r="9" spans="1:43" x14ac:dyDescent="0.25">
      <c r="A9" s="4"/>
      <c r="B9" s="97"/>
      <c r="C9" s="9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7"/>
      <c r="Q9" s="7"/>
      <c r="R9" s="8"/>
      <c r="S9" s="8"/>
      <c r="T9" s="8"/>
      <c r="U9" s="8"/>
      <c r="V9" s="8"/>
      <c r="W9" s="9"/>
      <c r="X9" s="8"/>
      <c r="Y9" s="8"/>
      <c r="Z9" s="9"/>
      <c r="AA9" s="9"/>
      <c r="AB9" s="8"/>
      <c r="AC9" s="8"/>
      <c r="AD9" s="8"/>
      <c r="AE9" s="8"/>
      <c r="AF9" s="8"/>
      <c r="AG9" s="8"/>
      <c r="AH9" s="8"/>
      <c r="AI9" s="8"/>
      <c r="AJ9" s="8"/>
      <c r="AK9" s="8"/>
      <c r="AL9" s="218" t="s">
        <v>52</v>
      </c>
      <c r="AM9" s="219"/>
      <c r="AN9" s="219"/>
      <c r="AO9" s="219"/>
      <c r="AP9" s="219"/>
      <c r="AQ9" s="4"/>
    </row>
    <row r="10" spans="1:43" ht="15" customHeight="1" x14ac:dyDescent="0.25">
      <c r="A10" s="164" t="s">
        <v>0</v>
      </c>
      <c r="B10" s="164" t="s">
        <v>1</v>
      </c>
      <c r="C10" s="148" t="s">
        <v>2</v>
      </c>
      <c r="D10" s="183" t="s">
        <v>43</v>
      </c>
      <c r="E10" s="184"/>
      <c r="F10" s="185"/>
      <c r="G10" s="186" t="s">
        <v>3</v>
      </c>
      <c r="H10" s="187"/>
      <c r="I10" s="188"/>
      <c r="J10" s="186" t="s">
        <v>4</v>
      </c>
      <c r="K10" s="187"/>
      <c r="L10" s="188"/>
      <c r="M10" s="177" t="s">
        <v>5</v>
      </c>
      <c r="N10" s="178"/>
      <c r="O10" s="179"/>
      <c r="P10" s="177" t="s">
        <v>6</v>
      </c>
      <c r="Q10" s="178"/>
      <c r="R10" s="179"/>
      <c r="S10" s="175" t="s">
        <v>7</v>
      </c>
      <c r="T10" s="175"/>
      <c r="U10" s="175"/>
      <c r="V10" s="180" t="s">
        <v>8</v>
      </c>
      <c r="W10" s="180"/>
      <c r="X10" s="180"/>
      <c r="Y10" s="175" t="s">
        <v>9</v>
      </c>
      <c r="Z10" s="175"/>
      <c r="AA10" s="175"/>
      <c r="AB10" s="181" t="s">
        <v>10</v>
      </c>
      <c r="AC10" s="181"/>
      <c r="AD10" s="181"/>
      <c r="AE10" s="181" t="s">
        <v>11</v>
      </c>
      <c r="AF10" s="181"/>
      <c r="AG10" s="181"/>
      <c r="AH10" s="174" t="s">
        <v>12</v>
      </c>
      <c r="AI10" s="174"/>
      <c r="AJ10" s="174"/>
      <c r="AK10" s="175" t="s">
        <v>13</v>
      </c>
      <c r="AL10" s="175"/>
      <c r="AM10" s="175"/>
      <c r="AN10" s="176" t="s">
        <v>14</v>
      </c>
      <c r="AO10" s="176"/>
      <c r="AP10" s="176"/>
      <c r="AQ10" s="10"/>
    </row>
    <row r="11" spans="1:43" ht="25.5" x14ac:dyDescent="0.25">
      <c r="A11" s="165"/>
      <c r="B11" s="165"/>
      <c r="C11" s="149"/>
      <c r="D11" s="11" t="s">
        <v>15</v>
      </c>
      <c r="E11" s="11" t="s">
        <v>16</v>
      </c>
      <c r="F11" s="12" t="s">
        <v>17</v>
      </c>
      <c r="G11" s="13" t="s">
        <v>18</v>
      </c>
      <c r="H11" s="130" t="s">
        <v>19</v>
      </c>
      <c r="I11" s="14" t="s">
        <v>17</v>
      </c>
      <c r="J11" s="13" t="s">
        <v>18</v>
      </c>
      <c r="K11" s="130" t="s">
        <v>19</v>
      </c>
      <c r="L11" s="14" t="s">
        <v>17</v>
      </c>
      <c r="M11" s="13" t="s">
        <v>18</v>
      </c>
      <c r="N11" s="129" t="s">
        <v>19</v>
      </c>
      <c r="O11" s="14" t="s">
        <v>17</v>
      </c>
      <c r="P11" s="13" t="s">
        <v>18</v>
      </c>
      <c r="Q11" s="129" t="s">
        <v>19</v>
      </c>
      <c r="R11" s="129" t="s">
        <v>17</v>
      </c>
      <c r="S11" s="13" t="s">
        <v>18</v>
      </c>
      <c r="T11" s="129" t="s">
        <v>19</v>
      </c>
      <c r="U11" s="14" t="s">
        <v>17</v>
      </c>
      <c r="V11" s="13" t="s">
        <v>18</v>
      </c>
      <c r="W11" s="129" t="s">
        <v>19</v>
      </c>
      <c r="X11" s="14" t="s">
        <v>17</v>
      </c>
      <c r="Y11" s="13" t="s">
        <v>18</v>
      </c>
      <c r="Z11" s="129" t="s">
        <v>19</v>
      </c>
      <c r="AA11" s="130" t="s">
        <v>17</v>
      </c>
      <c r="AB11" s="13" t="s">
        <v>18</v>
      </c>
      <c r="AC11" s="129" t="s">
        <v>19</v>
      </c>
      <c r="AD11" s="14" t="s">
        <v>17</v>
      </c>
      <c r="AE11" s="13" t="s">
        <v>18</v>
      </c>
      <c r="AF11" s="129" t="s">
        <v>19</v>
      </c>
      <c r="AG11" s="14" t="s">
        <v>17</v>
      </c>
      <c r="AH11" s="13" t="s">
        <v>18</v>
      </c>
      <c r="AI11" s="129" t="s">
        <v>19</v>
      </c>
      <c r="AJ11" s="14" t="s">
        <v>17</v>
      </c>
      <c r="AK11" s="13" t="s">
        <v>18</v>
      </c>
      <c r="AL11" s="129" t="s">
        <v>19</v>
      </c>
      <c r="AM11" s="14" t="s">
        <v>17</v>
      </c>
      <c r="AN11" s="15" t="s">
        <v>18</v>
      </c>
      <c r="AO11" s="129" t="s">
        <v>19</v>
      </c>
      <c r="AP11" s="16" t="s">
        <v>17</v>
      </c>
      <c r="AQ11" s="10"/>
    </row>
    <row r="12" spans="1:43" ht="28.5" customHeight="1" x14ac:dyDescent="0.25">
      <c r="A12" s="171"/>
      <c r="B12" s="150" t="s">
        <v>98</v>
      </c>
      <c r="C12" s="18" t="s">
        <v>21</v>
      </c>
      <c r="D12" s="49">
        <f>G12+J12+M12+P12+S12+V12+Y12+AB12+AE12+AH12+AK12+AN12</f>
        <v>433564.22000000003</v>
      </c>
      <c r="E12" s="49">
        <f>H12+K12+N12+Q12+T12+W12+Z12+AC12+AF12+AI12+AL12+AO12</f>
        <v>148304.87999999998</v>
      </c>
      <c r="F12" s="33">
        <f>E12/D12*100</f>
        <v>34.205977605808883</v>
      </c>
      <c r="G12" s="34">
        <f>G17+G22+G27</f>
        <v>13280.8</v>
      </c>
      <c r="H12" s="35">
        <f t="shared" ref="H12:AP15" si="0">H17+H22+H27</f>
        <v>19047.900000000001</v>
      </c>
      <c r="I12" s="34">
        <f>H12/G12*100</f>
        <v>143.42434190711404</v>
      </c>
      <c r="J12" s="34">
        <f t="shared" si="0"/>
        <v>32912.5</v>
      </c>
      <c r="K12" s="35">
        <f t="shared" si="0"/>
        <v>21862.16</v>
      </c>
      <c r="L12" s="34">
        <f>K12/J12*100</f>
        <v>66.425096847702235</v>
      </c>
      <c r="M12" s="34">
        <f t="shared" si="0"/>
        <v>36868.1</v>
      </c>
      <c r="N12" s="36">
        <f t="shared" si="0"/>
        <v>31351.95</v>
      </c>
      <c r="O12" s="34">
        <f t="shared" si="0"/>
        <v>195.46194409354513</v>
      </c>
      <c r="P12" s="34">
        <f t="shared" si="0"/>
        <v>36206.519999999997</v>
      </c>
      <c r="Q12" s="36">
        <f t="shared" si="0"/>
        <v>44496.82</v>
      </c>
      <c r="R12" s="36">
        <f t="shared" si="0"/>
        <v>185.60477317288604</v>
      </c>
      <c r="S12" s="34">
        <f t="shared" si="0"/>
        <v>47381.159999999996</v>
      </c>
      <c r="T12" s="36">
        <f t="shared" si="0"/>
        <v>31546.05</v>
      </c>
      <c r="U12" s="34">
        <f t="shared" si="0"/>
        <v>175.20772127718746</v>
      </c>
      <c r="V12" s="34">
        <f t="shared" si="0"/>
        <v>49901.01</v>
      </c>
      <c r="W12" s="46">
        <f>W13+W14+W15+W16</f>
        <v>0</v>
      </c>
      <c r="X12" s="34">
        <f t="shared" si="0"/>
        <v>0</v>
      </c>
      <c r="Y12" s="34">
        <f t="shared" si="0"/>
        <v>41941.420000000006</v>
      </c>
      <c r="Z12" s="34">
        <f t="shared" si="0"/>
        <v>0</v>
      </c>
      <c r="AA12" s="34">
        <f t="shared" si="0"/>
        <v>0</v>
      </c>
      <c r="AB12" s="34">
        <f t="shared" si="0"/>
        <v>41016.120000000003</v>
      </c>
      <c r="AC12" s="34">
        <f t="shared" si="0"/>
        <v>0</v>
      </c>
      <c r="AD12" s="34">
        <f t="shared" si="0"/>
        <v>0</v>
      </c>
      <c r="AE12" s="34">
        <f t="shared" si="0"/>
        <v>36189.520000000004</v>
      </c>
      <c r="AF12" s="34">
        <f t="shared" si="0"/>
        <v>0</v>
      </c>
      <c r="AG12" s="34">
        <f t="shared" si="0"/>
        <v>0</v>
      </c>
      <c r="AH12" s="34">
        <f t="shared" si="0"/>
        <v>33152.629999999997</v>
      </c>
      <c r="AI12" s="34">
        <f t="shared" si="0"/>
        <v>0</v>
      </c>
      <c r="AJ12" s="34">
        <f t="shared" si="0"/>
        <v>0</v>
      </c>
      <c r="AK12" s="34">
        <f t="shared" si="0"/>
        <v>34126.92</v>
      </c>
      <c r="AL12" s="34">
        <f t="shared" si="0"/>
        <v>0</v>
      </c>
      <c r="AM12" s="34">
        <f t="shared" si="0"/>
        <v>0</v>
      </c>
      <c r="AN12" s="34">
        <f t="shared" si="0"/>
        <v>30587.520000000004</v>
      </c>
      <c r="AO12" s="34">
        <f t="shared" si="0"/>
        <v>0</v>
      </c>
      <c r="AP12" s="34">
        <f t="shared" si="0"/>
        <v>0</v>
      </c>
      <c r="AQ12" s="19"/>
    </row>
    <row r="13" spans="1:43" ht="39" customHeight="1" x14ac:dyDescent="0.25">
      <c r="A13" s="172"/>
      <c r="B13" s="151"/>
      <c r="C13" s="21" t="s">
        <v>22</v>
      </c>
      <c r="D13" s="51">
        <f>G13+J13+M13+P13+S13+V13+Y13+AB13+AE13+AH13+AK13+AN13</f>
        <v>418847.10000000009</v>
      </c>
      <c r="E13" s="51">
        <f t="shared" ref="E13:E31" si="1">H13+K13+N13+Q13+T13+W13+Z13+AC13+AF13+AI13+AL13+AO13</f>
        <v>148025.87</v>
      </c>
      <c r="F13" s="33">
        <f t="shared" ref="F13:F29" si="2">E13/D13*100</f>
        <v>35.341266538553079</v>
      </c>
      <c r="G13" s="34">
        <f>G18+G23+G28</f>
        <v>13280.8</v>
      </c>
      <c r="H13" s="35">
        <f t="shared" si="0"/>
        <v>19047.900000000001</v>
      </c>
      <c r="I13" s="34">
        <f>H13/G13*100</f>
        <v>143.42434190711404</v>
      </c>
      <c r="J13" s="34">
        <f t="shared" si="0"/>
        <v>32912.5</v>
      </c>
      <c r="K13" s="35">
        <f t="shared" si="0"/>
        <v>21862.16</v>
      </c>
      <c r="L13" s="34">
        <f t="shared" si="0"/>
        <v>2.2336227308603003</v>
      </c>
      <c r="M13" s="34">
        <f t="shared" si="0"/>
        <v>36815.800000000003</v>
      </c>
      <c r="N13" s="36">
        <f>N18+N23+N28</f>
        <v>31351.95</v>
      </c>
      <c r="O13" s="34">
        <v>0</v>
      </c>
      <c r="P13" s="34">
        <f t="shared" si="0"/>
        <v>34719.099999999991</v>
      </c>
      <c r="Q13" s="36">
        <f t="shared" si="0"/>
        <v>44496.82</v>
      </c>
      <c r="R13" s="36">
        <f t="shared" si="0"/>
        <v>281.39948044811138</v>
      </c>
      <c r="S13" s="34">
        <f t="shared" si="0"/>
        <v>44288.929999999993</v>
      </c>
      <c r="T13" s="36">
        <f t="shared" si="0"/>
        <v>31267.039999999997</v>
      </c>
      <c r="U13" s="34">
        <f t="shared" si="0"/>
        <v>172.13007443520539</v>
      </c>
      <c r="V13" s="34">
        <f t="shared" si="0"/>
        <v>48457.58</v>
      </c>
      <c r="W13" s="46">
        <f t="shared" si="0"/>
        <v>0</v>
      </c>
      <c r="X13" s="34">
        <f t="shared" si="0"/>
        <v>0</v>
      </c>
      <c r="Y13" s="34">
        <f t="shared" si="0"/>
        <v>40546.390000000007</v>
      </c>
      <c r="Z13" s="34">
        <f t="shared" si="0"/>
        <v>0</v>
      </c>
      <c r="AA13" s="34">
        <f t="shared" si="0"/>
        <v>0</v>
      </c>
      <c r="AB13" s="34">
        <f t="shared" si="0"/>
        <v>39561.590000000004</v>
      </c>
      <c r="AC13" s="34">
        <f t="shared" si="0"/>
        <v>0</v>
      </c>
      <c r="AD13" s="34">
        <f t="shared" si="0"/>
        <v>0</v>
      </c>
      <c r="AE13" s="34">
        <f t="shared" si="0"/>
        <v>34660.19</v>
      </c>
      <c r="AF13" s="34">
        <f t="shared" si="0"/>
        <v>0</v>
      </c>
      <c r="AG13" s="34">
        <f t="shared" si="0"/>
        <v>0</v>
      </c>
      <c r="AH13" s="34">
        <f t="shared" si="0"/>
        <v>31710.799999999999</v>
      </c>
      <c r="AI13" s="34">
        <f t="shared" si="0"/>
        <v>0</v>
      </c>
      <c r="AJ13" s="34">
        <f t="shared" si="0"/>
        <v>0</v>
      </c>
      <c r="AK13" s="34">
        <f t="shared" si="0"/>
        <v>32700.9</v>
      </c>
      <c r="AL13" s="34">
        <f t="shared" si="0"/>
        <v>0</v>
      </c>
      <c r="AM13" s="34">
        <f t="shared" si="0"/>
        <v>0</v>
      </c>
      <c r="AN13" s="34">
        <f t="shared" si="0"/>
        <v>29192.52</v>
      </c>
      <c r="AO13" s="34">
        <f t="shared" si="0"/>
        <v>0</v>
      </c>
      <c r="AP13" s="89">
        <v>0</v>
      </c>
      <c r="AQ13" s="22"/>
    </row>
    <row r="14" spans="1:43" ht="26.25" customHeight="1" x14ac:dyDescent="0.25">
      <c r="A14" s="172"/>
      <c r="B14" s="151"/>
      <c r="C14" s="21" t="s">
        <v>23</v>
      </c>
      <c r="D14" s="51">
        <f t="shared" ref="D14:D26" si="3">G14+J14+M14+P14+S14+V14+Y14+AB14+AE14+AH14+AK14+AN14</f>
        <v>9266.84</v>
      </c>
      <c r="E14" s="51">
        <f>H14+K14+N14+Q14+T14+W14+Z14+AC14+AF14+AI14+AL14+AO14</f>
        <v>279.01</v>
      </c>
      <c r="F14" s="33">
        <f t="shared" si="2"/>
        <v>3.0108429626496194</v>
      </c>
      <c r="G14" s="34">
        <f>G19+G24+G29</f>
        <v>0</v>
      </c>
      <c r="H14" s="35">
        <f>H19+H29</f>
        <v>0</v>
      </c>
      <c r="I14" s="35" t="e">
        <f>H14/G14*100</f>
        <v>#DIV/0!</v>
      </c>
      <c r="J14" s="34">
        <f>J19+J24+J29</f>
        <v>0</v>
      </c>
      <c r="K14" s="35">
        <f>K19+K24+K29</f>
        <v>0</v>
      </c>
      <c r="L14" s="35" t="e">
        <f t="shared" ref="L14:L29" si="4">K14/J14*100</f>
        <v>#DIV/0!</v>
      </c>
      <c r="M14" s="34">
        <f>M19+M24+M29</f>
        <v>52.3</v>
      </c>
      <c r="N14" s="36">
        <f>N19+N24+N29</f>
        <v>0</v>
      </c>
      <c r="O14" s="35">
        <f t="shared" ref="O14:O29" si="5">N14/M14*100</f>
        <v>0</v>
      </c>
      <c r="P14" s="34">
        <f t="shared" si="0"/>
        <v>881.84</v>
      </c>
      <c r="Q14" s="36">
        <f>Q19+Q24+Q29</f>
        <v>0</v>
      </c>
      <c r="R14" s="36">
        <f t="shared" ref="R14:R29" si="6">Q14/P14*100</f>
        <v>0</v>
      </c>
      <c r="S14" s="37">
        <f t="shared" si="0"/>
        <v>2486.6400000000003</v>
      </c>
      <c r="T14" s="36">
        <f>T19+T24+T29</f>
        <v>279.01</v>
      </c>
      <c r="U14" s="35">
        <f t="shared" ref="U14:U29" si="7">T14/S14*100</f>
        <v>11.220361612456967</v>
      </c>
      <c r="V14" s="37">
        <f t="shared" si="0"/>
        <v>837.84</v>
      </c>
      <c r="W14" s="47">
        <f>W19+W24+W29</f>
        <v>0</v>
      </c>
      <c r="X14" s="35">
        <f t="shared" ref="X14:X29" si="8">W14/V14*100</f>
        <v>0</v>
      </c>
      <c r="Y14" s="37">
        <f t="shared" si="0"/>
        <v>789.44</v>
      </c>
      <c r="Z14" s="36">
        <f>Z19+Z24+Z29</f>
        <v>0</v>
      </c>
      <c r="AA14" s="35">
        <f t="shared" ref="AA14:AA29" si="9">Z14/Y14*100</f>
        <v>0</v>
      </c>
      <c r="AB14" s="37">
        <f t="shared" si="0"/>
        <v>848.94</v>
      </c>
      <c r="AC14" s="36">
        <f>AC19+AC24+AC29</f>
        <v>0</v>
      </c>
      <c r="AD14" s="35">
        <f t="shared" ref="AD14:AD29" si="10">AC14/AB14*100</f>
        <v>0</v>
      </c>
      <c r="AE14" s="37">
        <f t="shared" si="0"/>
        <v>923.74</v>
      </c>
      <c r="AF14" s="36">
        <f>AF19+AF24+AF29</f>
        <v>0</v>
      </c>
      <c r="AG14" s="35">
        <f t="shared" ref="AG14:AG29" si="11">AF14/AE14*100</f>
        <v>0</v>
      </c>
      <c r="AH14" s="37">
        <f t="shared" si="0"/>
        <v>836.24</v>
      </c>
      <c r="AI14" s="36">
        <f>AI19+AI24+AI29</f>
        <v>0</v>
      </c>
      <c r="AJ14" s="35">
        <f t="shared" ref="AJ14:AJ27" si="12">AI14/AH14*100</f>
        <v>0</v>
      </c>
      <c r="AK14" s="37">
        <f t="shared" si="0"/>
        <v>820.43</v>
      </c>
      <c r="AL14" s="36">
        <v>0</v>
      </c>
      <c r="AM14" s="35">
        <f t="shared" ref="AM14:AM29" si="13">AL14/AK14*100</f>
        <v>0</v>
      </c>
      <c r="AN14" s="90">
        <f t="shared" si="0"/>
        <v>789.43</v>
      </c>
      <c r="AO14" s="36">
        <v>0</v>
      </c>
      <c r="AP14" s="91">
        <v>0</v>
      </c>
      <c r="AQ14" s="23"/>
    </row>
    <row r="15" spans="1:43" ht="26.25" customHeight="1" x14ac:dyDescent="0.25">
      <c r="A15" s="172"/>
      <c r="B15" s="151"/>
      <c r="C15" s="21" t="s">
        <v>24</v>
      </c>
      <c r="D15" s="51">
        <f>G15+J15+M15+P15+S15+V15+Y15+AB15+AE15+AH15+AK15+AN15</f>
        <v>5450.2800000000007</v>
      </c>
      <c r="E15" s="51">
        <f t="shared" si="1"/>
        <v>0</v>
      </c>
      <c r="F15" s="33">
        <v>0</v>
      </c>
      <c r="G15" s="34">
        <f t="shared" ref="G15" si="14">G20+G25+G30</f>
        <v>0</v>
      </c>
      <c r="H15" s="35">
        <f>H20+H25+H30</f>
        <v>0</v>
      </c>
      <c r="I15" s="35">
        <v>0</v>
      </c>
      <c r="J15" s="34">
        <f t="shared" ref="J15" si="15">J20+J25+J30</f>
        <v>0</v>
      </c>
      <c r="K15" s="35">
        <v>0</v>
      </c>
      <c r="L15" s="35">
        <v>0</v>
      </c>
      <c r="M15" s="34">
        <f>M20+M25+M30</f>
        <v>0</v>
      </c>
      <c r="N15" s="36">
        <f>N20+N25+N30</f>
        <v>0</v>
      </c>
      <c r="O15" s="35">
        <v>0</v>
      </c>
      <c r="P15" s="34">
        <f t="shared" si="0"/>
        <v>605.58000000000004</v>
      </c>
      <c r="Q15" s="36">
        <f>Q20+Q24+Q30</f>
        <v>0</v>
      </c>
      <c r="R15" s="36">
        <v>0</v>
      </c>
      <c r="S15" s="34">
        <f t="shared" si="0"/>
        <v>605.59</v>
      </c>
      <c r="T15" s="36">
        <v>0</v>
      </c>
      <c r="U15" s="35">
        <v>0</v>
      </c>
      <c r="V15" s="34">
        <f t="shared" si="0"/>
        <v>605.59</v>
      </c>
      <c r="W15" s="47">
        <v>0</v>
      </c>
      <c r="X15" s="35">
        <v>0</v>
      </c>
      <c r="Y15" s="34">
        <f>Y20</f>
        <v>605.59</v>
      </c>
      <c r="Z15" s="36">
        <v>0</v>
      </c>
      <c r="AA15" s="35">
        <v>0</v>
      </c>
      <c r="AB15" s="34">
        <f>AB20</f>
        <v>605.59</v>
      </c>
      <c r="AC15" s="36">
        <v>0</v>
      </c>
      <c r="AD15" s="35">
        <v>0</v>
      </c>
      <c r="AE15" s="34">
        <f t="shared" si="0"/>
        <v>605.59</v>
      </c>
      <c r="AF15" s="36">
        <v>0</v>
      </c>
      <c r="AG15" s="35">
        <v>0</v>
      </c>
      <c r="AH15" s="34">
        <f t="shared" si="0"/>
        <v>605.59</v>
      </c>
      <c r="AI15" s="36">
        <v>0</v>
      </c>
      <c r="AJ15" s="35">
        <v>0</v>
      </c>
      <c r="AK15" s="34">
        <f t="shared" si="0"/>
        <v>605.59</v>
      </c>
      <c r="AL15" s="36">
        <v>0</v>
      </c>
      <c r="AM15" s="35">
        <v>0</v>
      </c>
      <c r="AN15" s="92">
        <f t="shared" si="0"/>
        <v>605.57000000000005</v>
      </c>
      <c r="AO15" s="36">
        <v>0</v>
      </c>
      <c r="AP15" s="91">
        <v>0</v>
      </c>
      <c r="AQ15" s="23"/>
    </row>
    <row r="16" spans="1:43" ht="26.25" customHeight="1" x14ac:dyDescent="0.25">
      <c r="A16" s="173"/>
      <c r="B16" s="152"/>
      <c r="C16" s="18" t="s">
        <v>25</v>
      </c>
      <c r="D16" s="51">
        <f t="shared" si="3"/>
        <v>0</v>
      </c>
      <c r="E16" s="51">
        <f t="shared" si="1"/>
        <v>0</v>
      </c>
      <c r="F16" s="33">
        <v>0</v>
      </c>
      <c r="G16" s="38">
        <v>0</v>
      </c>
      <c r="H16" s="33">
        <f>H21+H26+H31</f>
        <v>0</v>
      </c>
      <c r="I16" s="35">
        <v>0</v>
      </c>
      <c r="J16" s="38">
        <v>0</v>
      </c>
      <c r="K16" s="35">
        <v>0</v>
      </c>
      <c r="L16" s="35">
        <v>0</v>
      </c>
      <c r="M16" s="38">
        <v>0</v>
      </c>
      <c r="N16" s="39">
        <f>N21+N26+N31</f>
        <v>0</v>
      </c>
      <c r="O16" s="35">
        <v>0</v>
      </c>
      <c r="P16" s="38">
        <v>0</v>
      </c>
      <c r="Q16" s="39">
        <v>0</v>
      </c>
      <c r="R16" s="36">
        <v>0</v>
      </c>
      <c r="S16" s="38">
        <v>0</v>
      </c>
      <c r="T16" s="39">
        <v>0</v>
      </c>
      <c r="U16" s="35">
        <v>0</v>
      </c>
      <c r="V16" s="38">
        <v>0</v>
      </c>
      <c r="W16" s="48">
        <v>0</v>
      </c>
      <c r="X16" s="35">
        <v>0</v>
      </c>
      <c r="Y16" s="38">
        <v>0</v>
      </c>
      <c r="Z16" s="39">
        <v>0</v>
      </c>
      <c r="AA16" s="35">
        <v>0</v>
      </c>
      <c r="AB16" s="38">
        <v>0</v>
      </c>
      <c r="AC16" s="39">
        <v>0</v>
      </c>
      <c r="AD16" s="35">
        <v>0</v>
      </c>
      <c r="AE16" s="38">
        <v>0</v>
      </c>
      <c r="AF16" s="33">
        <v>0</v>
      </c>
      <c r="AG16" s="35">
        <v>0</v>
      </c>
      <c r="AH16" s="38">
        <v>0</v>
      </c>
      <c r="AI16" s="39">
        <v>0</v>
      </c>
      <c r="AJ16" s="35">
        <v>0</v>
      </c>
      <c r="AK16" s="38">
        <v>0</v>
      </c>
      <c r="AL16" s="39">
        <v>0</v>
      </c>
      <c r="AM16" s="35">
        <v>0</v>
      </c>
      <c r="AN16" s="93">
        <v>0</v>
      </c>
      <c r="AO16" s="39">
        <v>0</v>
      </c>
      <c r="AP16" s="39">
        <v>0</v>
      </c>
      <c r="AQ16" s="23"/>
    </row>
    <row r="17" spans="1:43" ht="39" customHeight="1" x14ac:dyDescent="0.25">
      <c r="A17" s="167" t="s">
        <v>26</v>
      </c>
      <c r="B17" s="153" t="s">
        <v>27</v>
      </c>
      <c r="C17" s="18" t="s">
        <v>21</v>
      </c>
      <c r="D17" s="49">
        <f>G17+J17+M17+P17+S17+V17+Y17+AB17+AE17+AH17+AK17+AN17</f>
        <v>21130.180000000004</v>
      </c>
      <c r="E17" s="49">
        <f t="shared" si="1"/>
        <v>423.9</v>
      </c>
      <c r="F17" s="40">
        <f t="shared" ref="F17:O17" si="16">F18+F19+F20</f>
        <v>5.2701388370060105</v>
      </c>
      <c r="G17" s="40">
        <f t="shared" si="16"/>
        <v>0</v>
      </c>
      <c r="H17" s="40">
        <f t="shared" si="16"/>
        <v>0</v>
      </c>
      <c r="I17" s="40" t="e">
        <f t="shared" si="16"/>
        <v>#DIV/0!</v>
      </c>
      <c r="J17" s="40">
        <f t="shared" si="16"/>
        <v>126.7</v>
      </c>
      <c r="K17" s="40">
        <f t="shared" si="16"/>
        <v>2.83</v>
      </c>
      <c r="L17" s="40" t="e">
        <f t="shared" si="16"/>
        <v>#DIV/0!</v>
      </c>
      <c r="M17" s="40">
        <f t="shared" si="16"/>
        <v>175.2</v>
      </c>
      <c r="N17" s="40">
        <f t="shared" si="16"/>
        <v>48.19</v>
      </c>
      <c r="O17" s="40">
        <f t="shared" si="16"/>
        <v>39.21074043938161</v>
      </c>
      <c r="P17" s="40">
        <f>P18+P19+P20+P21</f>
        <v>1506.6200000000001</v>
      </c>
      <c r="Q17" s="40">
        <f>Q18+Q19+Q20+Q21</f>
        <v>18.63</v>
      </c>
      <c r="R17" s="41">
        <f t="shared" si="6"/>
        <v>1.236542724774661</v>
      </c>
      <c r="S17" s="40">
        <f>S18+S20+S19</f>
        <v>4912.380000000001</v>
      </c>
      <c r="T17" s="40">
        <f>T18+T19+T20</f>
        <v>354.25</v>
      </c>
      <c r="U17" s="41">
        <f t="shared" si="7"/>
        <v>7.2113720844071496</v>
      </c>
      <c r="V17" s="40">
        <f>V18+V19+V20</f>
        <v>3309.67</v>
      </c>
      <c r="W17" s="49">
        <f>W18+W19+W21+W20</f>
        <v>0</v>
      </c>
      <c r="X17" s="41">
        <f t="shared" si="8"/>
        <v>0</v>
      </c>
      <c r="Y17" s="40">
        <f>Y18+Y19+Y20</f>
        <v>3192.4700000000003</v>
      </c>
      <c r="Z17" s="40">
        <f>Z18+Z19</f>
        <v>0</v>
      </c>
      <c r="AA17" s="41">
        <f t="shared" si="9"/>
        <v>0</v>
      </c>
      <c r="AB17" s="40">
        <f>AB18+AB19+AB20</f>
        <v>1964.4700000000003</v>
      </c>
      <c r="AC17" s="40">
        <f>AC18+AC19</f>
        <v>0</v>
      </c>
      <c r="AD17" s="41">
        <f t="shared" si="10"/>
        <v>0</v>
      </c>
      <c r="AE17" s="40">
        <f>AE18+AE19+AE20</f>
        <v>1647.27</v>
      </c>
      <c r="AF17" s="40">
        <f>AF18+AF19</f>
        <v>0</v>
      </c>
      <c r="AG17" s="41">
        <f t="shared" si="11"/>
        <v>0</v>
      </c>
      <c r="AH17" s="40">
        <f>AH18+AH19+AH20</f>
        <v>1456.38</v>
      </c>
      <c r="AI17" s="40">
        <f>AI18+AI19</f>
        <v>0</v>
      </c>
      <c r="AJ17" s="41">
        <f t="shared" si="12"/>
        <v>0</v>
      </c>
      <c r="AK17" s="40">
        <f>AK18+AK19+AK20</f>
        <v>1437.77</v>
      </c>
      <c r="AL17" s="40">
        <f>AL18+AL19</f>
        <v>0</v>
      </c>
      <c r="AM17" s="41">
        <f t="shared" si="13"/>
        <v>0</v>
      </c>
      <c r="AN17" s="40">
        <f>AN18+AN19+AN20</f>
        <v>1401.25</v>
      </c>
      <c r="AO17" s="40">
        <v>0</v>
      </c>
      <c r="AP17" s="40">
        <v>0</v>
      </c>
      <c r="AQ17" s="19"/>
    </row>
    <row r="18" spans="1:43" ht="26.25" customHeight="1" x14ac:dyDescent="0.25">
      <c r="A18" s="168"/>
      <c r="B18" s="154"/>
      <c r="C18" s="21" t="s">
        <v>22</v>
      </c>
      <c r="D18" s="51">
        <f>G18+J18+M18+P18+S18+V18+Y18+AB18+AE18+AH18+AK18+AN18</f>
        <v>6413.06</v>
      </c>
      <c r="E18" s="51">
        <f t="shared" si="1"/>
        <v>144.88999999999999</v>
      </c>
      <c r="F18" s="33">
        <f t="shared" si="2"/>
        <v>2.2592958743563911</v>
      </c>
      <c r="G18" s="38">
        <v>0</v>
      </c>
      <c r="H18" s="33">
        <v>0</v>
      </c>
      <c r="I18" s="35" t="e">
        <f t="shared" ref="I18:I29" si="17">H18/G18*100</f>
        <v>#DIV/0!</v>
      </c>
      <c r="J18" s="38">
        <f>123.7+3</f>
        <v>126.7</v>
      </c>
      <c r="K18" s="35">
        <v>2.83</v>
      </c>
      <c r="L18" s="35">
        <f t="shared" si="4"/>
        <v>2.2336227308603003</v>
      </c>
      <c r="M18" s="38">
        <v>122.9</v>
      </c>
      <c r="N18" s="33">
        <v>48.19</v>
      </c>
      <c r="O18" s="35">
        <f t="shared" si="5"/>
        <v>39.21074043938161</v>
      </c>
      <c r="P18" s="38">
        <v>19.2</v>
      </c>
      <c r="Q18" s="33">
        <v>18.63</v>
      </c>
      <c r="R18" s="36">
        <f t="shared" si="6"/>
        <v>97.03125</v>
      </c>
      <c r="S18" s="38">
        <f>1813.9+6.25</f>
        <v>1820.15</v>
      </c>
      <c r="T18" s="119">
        <v>75.239999999999995</v>
      </c>
      <c r="U18" s="35">
        <f t="shared" si="7"/>
        <v>4.1337252424250748</v>
      </c>
      <c r="V18" s="38">
        <f>1890.8+6.25-30.81</f>
        <v>1866.24</v>
      </c>
      <c r="W18" s="48">
        <v>0</v>
      </c>
      <c r="X18" s="35">
        <f t="shared" si="8"/>
        <v>0</v>
      </c>
      <c r="Y18" s="38">
        <f>1822+6.25-30.81</f>
        <v>1797.44</v>
      </c>
      <c r="Z18" s="39">
        <v>0</v>
      </c>
      <c r="AA18" s="35">
        <f>Z18/Y18*100</f>
        <v>0</v>
      </c>
      <c r="AB18" s="38">
        <f>534.5+6.25-30.81</f>
        <v>509.94</v>
      </c>
      <c r="AC18" s="39">
        <v>0</v>
      </c>
      <c r="AD18" s="35">
        <f t="shared" si="10"/>
        <v>0</v>
      </c>
      <c r="AE18" s="38">
        <f>142.5+6.25-30.81</f>
        <v>117.94</v>
      </c>
      <c r="AF18" s="39">
        <v>0</v>
      </c>
      <c r="AG18" s="35">
        <v>0</v>
      </c>
      <c r="AH18" s="38">
        <f>8.3+6.25</f>
        <v>14.55</v>
      </c>
      <c r="AI18" s="39">
        <v>0</v>
      </c>
      <c r="AJ18" s="35">
        <v>0</v>
      </c>
      <c r="AK18" s="38">
        <f>5.5+6.25</f>
        <v>11.75</v>
      </c>
      <c r="AL18" s="39">
        <v>0</v>
      </c>
      <c r="AM18" s="35">
        <f t="shared" si="13"/>
        <v>0</v>
      </c>
      <c r="AN18" s="93">
        <v>6.25</v>
      </c>
      <c r="AO18" s="39">
        <v>0</v>
      </c>
      <c r="AP18" s="89">
        <v>0</v>
      </c>
      <c r="AQ18" s="22"/>
    </row>
    <row r="19" spans="1:43" ht="26.25" customHeight="1" x14ac:dyDescent="0.25">
      <c r="A19" s="168"/>
      <c r="B19" s="154"/>
      <c r="C19" s="18" t="s">
        <v>23</v>
      </c>
      <c r="D19" s="51">
        <f>G19+J19+M19+P19+S19+V19+Y19+AB19+AE19+AH19+AK19+AN19</f>
        <v>9266.84</v>
      </c>
      <c r="E19" s="51">
        <f t="shared" si="1"/>
        <v>279.01</v>
      </c>
      <c r="F19" s="33">
        <f t="shared" si="2"/>
        <v>3.0108429626496194</v>
      </c>
      <c r="G19" s="38">
        <v>0</v>
      </c>
      <c r="H19" s="33">
        <v>0</v>
      </c>
      <c r="I19" s="35" t="e">
        <f t="shared" si="17"/>
        <v>#DIV/0!</v>
      </c>
      <c r="J19" s="38">
        <v>0</v>
      </c>
      <c r="K19" s="35">
        <v>0</v>
      </c>
      <c r="L19" s="35" t="e">
        <f>K19/J19*100</f>
        <v>#DIV/0!</v>
      </c>
      <c r="M19" s="38">
        <v>52.3</v>
      </c>
      <c r="N19" s="39">
        <v>0</v>
      </c>
      <c r="O19" s="35">
        <f t="shared" si="5"/>
        <v>0</v>
      </c>
      <c r="P19" s="38">
        <f>117.4+764.44</f>
        <v>881.84</v>
      </c>
      <c r="Q19" s="39">
        <v>0</v>
      </c>
      <c r="R19" s="36">
        <f t="shared" si="6"/>
        <v>0</v>
      </c>
      <c r="S19" s="38">
        <f>1697.2+764.44+25</f>
        <v>2486.6400000000003</v>
      </c>
      <c r="T19" s="119">
        <v>279.01</v>
      </c>
      <c r="U19" s="35">
        <f t="shared" si="7"/>
        <v>11.220361612456967</v>
      </c>
      <c r="V19" s="38">
        <f>48.4+764.44+25</f>
        <v>837.84</v>
      </c>
      <c r="W19" s="48">
        <v>0</v>
      </c>
      <c r="X19" s="35">
        <f t="shared" si="8"/>
        <v>0</v>
      </c>
      <c r="Y19" s="38">
        <f>764.44+25</f>
        <v>789.44</v>
      </c>
      <c r="Z19" s="39">
        <v>0</v>
      </c>
      <c r="AA19" s="35">
        <f t="shared" si="9"/>
        <v>0</v>
      </c>
      <c r="AB19" s="38">
        <f>59.5+764.44+25</f>
        <v>848.94</v>
      </c>
      <c r="AC19" s="39">
        <v>0</v>
      </c>
      <c r="AD19" s="35">
        <f t="shared" si="10"/>
        <v>0</v>
      </c>
      <c r="AE19" s="38">
        <f>134.3+764.44+25</f>
        <v>923.74</v>
      </c>
      <c r="AF19" s="39">
        <v>0</v>
      </c>
      <c r="AG19" s="35">
        <f t="shared" si="11"/>
        <v>0</v>
      </c>
      <c r="AH19" s="38">
        <f>46.8+764.44+25</f>
        <v>836.24</v>
      </c>
      <c r="AI19" s="39">
        <v>0</v>
      </c>
      <c r="AJ19" s="35">
        <v>0</v>
      </c>
      <c r="AK19" s="38">
        <f>31+764.43+25</f>
        <v>820.43</v>
      </c>
      <c r="AL19" s="39">
        <v>0</v>
      </c>
      <c r="AM19" s="35">
        <v>0</v>
      </c>
      <c r="AN19" s="93">
        <f>764.43+25</f>
        <v>789.43</v>
      </c>
      <c r="AO19" s="39">
        <v>0</v>
      </c>
      <c r="AP19" s="89">
        <v>0</v>
      </c>
      <c r="AQ19" s="23"/>
    </row>
    <row r="20" spans="1:43" ht="26.25" customHeight="1" x14ac:dyDescent="0.25">
      <c r="A20" s="168"/>
      <c r="B20" s="154"/>
      <c r="C20" s="21" t="s">
        <v>24</v>
      </c>
      <c r="D20" s="51">
        <f t="shared" si="3"/>
        <v>5450.2800000000007</v>
      </c>
      <c r="E20" s="51">
        <f t="shared" si="1"/>
        <v>0</v>
      </c>
      <c r="F20" s="33">
        <v>0</v>
      </c>
      <c r="G20" s="38">
        <v>0</v>
      </c>
      <c r="H20" s="33">
        <v>0</v>
      </c>
      <c r="I20" s="35">
        <v>0</v>
      </c>
      <c r="J20" s="38">
        <v>0</v>
      </c>
      <c r="K20" s="35">
        <v>0</v>
      </c>
      <c r="L20" s="35">
        <v>0</v>
      </c>
      <c r="M20" s="38">
        <v>0</v>
      </c>
      <c r="N20" s="39">
        <v>0</v>
      </c>
      <c r="O20" s="35">
        <v>0</v>
      </c>
      <c r="P20" s="38">
        <v>605.58000000000004</v>
      </c>
      <c r="Q20" s="39">
        <v>0</v>
      </c>
      <c r="R20" s="36">
        <v>0</v>
      </c>
      <c r="S20" s="38">
        <v>605.59</v>
      </c>
      <c r="T20" s="39">
        <v>0</v>
      </c>
      <c r="U20" s="35">
        <v>0</v>
      </c>
      <c r="V20" s="38">
        <v>605.59</v>
      </c>
      <c r="W20" s="48">
        <v>0</v>
      </c>
      <c r="X20" s="35">
        <v>0</v>
      </c>
      <c r="Y20" s="38">
        <v>605.59</v>
      </c>
      <c r="Z20" s="39">
        <v>0</v>
      </c>
      <c r="AA20" s="35">
        <v>0</v>
      </c>
      <c r="AB20" s="38">
        <v>605.59</v>
      </c>
      <c r="AC20" s="39">
        <v>0</v>
      </c>
      <c r="AD20" s="35">
        <v>0</v>
      </c>
      <c r="AE20" s="38">
        <v>605.59</v>
      </c>
      <c r="AF20" s="39">
        <v>0</v>
      </c>
      <c r="AG20" s="35">
        <v>0</v>
      </c>
      <c r="AH20" s="38">
        <v>605.59</v>
      </c>
      <c r="AI20" s="39">
        <v>0</v>
      </c>
      <c r="AJ20" s="35">
        <v>0</v>
      </c>
      <c r="AK20" s="38">
        <v>605.59</v>
      </c>
      <c r="AL20" s="39">
        <v>0</v>
      </c>
      <c r="AM20" s="35">
        <v>0</v>
      </c>
      <c r="AN20" s="93">
        <v>605.57000000000005</v>
      </c>
      <c r="AO20" s="39">
        <v>0</v>
      </c>
      <c r="AP20" s="89">
        <v>0</v>
      </c>
      <c r="AQ20" s="23"/>
    </row>
    <row r="21" spans="1:43" ht="26.25" customHeight="1" x14ac:dyDescent="0.25">
      <c r="A21" s="169"/>
      <c r="B21" s="155"/>
      <c r="C21" s="18" t="s">
        <v>25</v>
      </c>
      <c r="D21" s="51">
        <f t="shared" si="3"/>
        <v>0</v>
      </c>
      <c r="E21" s="51">
        <f t="shared" si="1"/>
        <v>0</v>
      </c>
      <c r="F21" s="33">
        <v>0</v>
      </c>
      <c r="G21" s="38">
        <v>0</v>
      </c>
      <c r="H21" s="33">
        <v>0</v>
      </c>
      <c r="I21" s="35">
        <v>0</v>
      </c>
      <c r="J21" s="38">
        <v>0</v>
      </c>
      <c r="K21" s="35">
        <v>0</v>
      </c>
      <c r="L21" s="35">
        <v>0</v>
      </c>
      <c r="M21" s="38">
        <v>0</v>
      </c>
      <c r="N21" s="39">
        <v>0</v>
      </c>
      <c r="O21" s="35">
        <v>0</v>
      </c>
      <c r="P21" s="38">
        <v>0</v>
      </c>
      <c r="Q21" s="39">
        <v>0</v>
      </c>
      <c r="R21" s="36">
        <v>0</v>
      </c>
      <c r="S21" s="38">
        <v>0</v>
      </c>
      <c r="T21" s="39">
        <v>0</v>
      </c>
      <c r="U21" s="35">
        <v>0</v>
      </c>
      <c r="V21" s="38">
        <v>0</v>
      </c>
      <c r="W21" s="48">
        <v>0</v>
      </c>
      <c r="X21" s="35">
        <v>0</v>
      </c>
      <c r="Y21" s="38">
        <v>0</v>
      </c>
      <c r="Z21" s="39">
        <v>0</v>
      </c>
      <c r="AA21" s="35">
        <v>0</v>
      </c>
      <c r="AB21" s="38">
        <v>0</v>
      </c>
      <c r="AC21" s="39">
        <v>0</v>
      </c>
      <c r="AD21" s="35">
        <v>0</v>
      </c>
      <c r="AE21" s="38">
        <v>0</v>
      </c>
      <c r="AF21" s="39">
        <v>0</v>
      </c>
      <c r="AG21" s="35">
        <v>0</v>
      </c>
      <c r="AH21" s="38">
        <v>0</v>
      </c>
      <c r="AI21" s="39">
        <v>0</v>
      </c>
      <c r="AJ21" s="35">
        <v>0</v>
      </c>
      <c r="AK21" s="38">
        <v>0</v>
      </c>
      <c r="AL21" s="39">
        <v>0</v>
      </c>
      <c r="AM21" s="35">
        <v>0</v>
      </c>
      <c r="AN21" s="93">
        <v>0</v>
      </c>
      <c r="AO21" s="39">
        <v>0</v>
      </c>
      <c r="AP21" s="39">
        <v>0</v>
      </c>
      <c r="AQ21" s="23"/>
    </row>
    <row r="22" spans="1:43" ht="37.5" customHeight="1" x14ac:dyDescent="0.25">
      <c r="A22" s="167" t="s">
        <v>30</v>
      </c>
      <c r="B22" s="153" t="s">
        <v>28</v>
      </c>
      <c r="C22" s="18" t="s">
        <v>21</v>
      </c>
      <c r="D22" s="49">
        <f>G22+J22+M22+P22+S22+V22+Y22+AB22+AE22+AH22+AK22+AN22</f>
        <v>7210</v>
      </c>
      <c r="E22" s="49">
        <f t="shared" si="1"/>
        <v>1632.0900000000001</v>
      </c>
      <c r="F22" s="40">
        <f t="shared" si="2"/>
        <v>22.636477115117895</v>
      </c>
      <c r="G22" s="40">
        <f>G23+G24</f>
        <v>0</v>
      </c>
      <c r="H22" s="40">
        <f>H23+H24+H25+H26</f>
        <v>0</v>
      </c>
      <c r="I22" s="41">
        <v>0</v>
      </c>
      <c r="J22" s="40">
        <f>J23+J24+J25</f>
        <v>150</v>
      </c>
      <c r="K22" s="41">
        <f>K23+K24+K25+K26</f>
        <v>40.53</v>
      </c>
      <c r="L22" s="41">
        <v>0</v>
      </c>
      <c r="M22" s="40">
        <f>M23+M24+M25</f>
        <v>895.4</v>
      </c>
      <c r="N22" s="40">
        <f>N23+N24+N25+N26</f>
        <v>631.88</v>
      </c>
      <c r="O22" s="41">
        <f t="shared" si="5"/>
        <v>70.569577842305122</v>
      </c>
      <c r="P22" s="40">
        <f>P23+P24+P25</f>
        <v>437</v>
      </c>
      <c r="Q22" s="40">
        <f>Q23+Q24+Q25+Q26</f>
        <v>241.48</v>
      </c>
      <c r="R22" s="41">
        <f t="shared" si="6"/>
        <v>55.258581235697932</v>
      </c>
      <c r="S22" s="40">
        <f>S23+S24+S25</f>
        <v>756.48</v>
      </c>
      <c r="T22" s="40">
        <f>T23</f>
        <v>718.2</v>
      </c>
      <c r="U22" s="41">
        <f t="shared" si="7"/>
        <v>94.939720812182742</v>
      </c>
      <c r="V22" s="40">
        <f>V23+V24+V25</f>
        <v>1472.8100000000002</v>
      </c>
      <c r="W22" s="49">
        <f>W23+W24+W25+W26</f>
        <v>0</v>
      </c>
      <c r="X22" s="41">
        <f t="shared" si="8"/>
        <v>0</v>
      </c>
      <c r="Y22" s="40">
        <f>Y23+Y24+Y25</f>
        <v>675.81</v>
      </c>
      <c r="Z22" s="40">
        <f>Z23</f>
        <v>0</v>
      </c>
      <c r="AA22" s="41">
        <f t="shared" si="9"/>
        <v>0</v>
      </c>
      <c r="AB22" s="40">
        <f>AB23+AB24+AB25</f>
        <v>701.31</v>
      </c>
      <c r="AC22" s="40">
        <f>AC23</f>
        <v>0</v>
      </c>
      <c r="AD22" s="41">
        <f t="shared" si="10"/>
        <v>0</v>
      </c>
      <c r="AE22" s="40">
        <f>AE23+AE24</f>
        <v>593.80999999999995</v>
      </c>
      <c r="AF22" s="40">
        <f>AF23+AF24</f>
        <v>0</v>
      </c>
      <c r="AG22" s="41">
        <f t="shared" si="11"/>
        <v>0</v>
      </c>
      <c r="AH22" s="40">
        <f>AH23+AH24</f>
        <v>375.81</v>
      </c>
      <c r="AI22" s="40">
        <f>AI23</f>
        <v>0</v>
      </c>
      <c r="AJ22" s="41">
        <f t="shared" si="12"/>
        <v>0</v>
      </c>
      <c r="AK22" s="40">
        <f>AK23+AK24</f>
        <v>475.81</v>
      </c>
      <c r="AL22" s="40">
        <f>AL23</f>
        <v>0</v>
      </c>
      <c r="AM22" s="41">
        <f t="shared" si="13"/>
        <v>0</v>
      </c>
      <c r="AN22" s="94">
        <f>AN23+AN24</f>
        <v>675.76</v>
      </c>
      <c r="AO22" s="40">
        <v>0</v>
      </c>
      <c r="AP22" s="40">
        <v>0</v>
      </c>
      <c r="AQ22" s="19"/>
    </row>
    <row r="23" spans="1:43" ht="26.25" customHeight="1" x14ac:dyDescent="0.25">
      <c r="A23" s="168"/>
      <c r="B23" s="154"/>
      <c r="C23" s="18" t="s">
        <v>22</v>
      </c>
      <c r="D23" s="51">
        <f>G23+J23+M23+P23+S23+V23+Y23+AB23+AE23+AH23+AK23+AN23</f>
        <v>7210</v>
      </c>
      <c r="E23" s="51">
        <f t="shared" si="1"/>
        <v>1632.0900000000001</v>
      </c>
      <c r="F23" s="33">
        <f t="shared" si="2"/>
        <v>22.636477115117895</v>
      </c>
      <c r="G23" s="38">
        <v>0</v>
      </c>
      <c r="H23" s="33">
        <v>0</v>
      </c>
      <c r="I23" s="35"/>
      <c r="J23" s="38">
        <v>150</v>
      </c>
      <c r="K23" s="35">
        <v>40.53</v>
      </c>
      <c r="L23" s="35">
        <v>0</v>
      </c>
      <c r="M23" s="38">
        <v>895.4</v>
      </c>
      <c r="N23" s="33">
        <v>631.88</v>
      </c>
      <c r="O23" s="35">
        <v>0</v>
      </c>
      <c r="P23" s="38">
        <v>437</v>
      </c>
      <c r="Q23" s="33">
        <v>241.48</v>
      </c>
      <c r="R23" s="36">
        <f t="shared" si="6"/>
        <v>55.258581235697932</v>
      </c>
      <c r="S23" s="38">
        <f>702.1+54.38</f>
        <v>756.48</v>
      </c>
      <c r="T23" s="119">
        <v>718.2</v>
      </c>
      <c r="U23" s="35">
        <f t="shared" si="7"/>
        <v>94.939720812182742</v>
      </c>
      <c r="V23" s="38">
        <f>1197+54.38+221.43</f>
        <v>1472.8100000000002</v>
      </c>
      <c r="W23" s="48">
        <v>0</v>
      </c>
      <c r="X23" s="35">
        <f t="shared" si="8"/>
        <v>0</v>
      </c>
      <c r="Y23" s="38">
        <f>400+54.38+221.43</f>
        <v>675.81</v>
      </c>
      <c r="Z23" s="39">
        <v>0</v>
      </c>
      <c r="AA23" s="35">
        <v>0</v>
      </c>
      <c r="AB23" s="38">
        <f>425.5+54.38+221.43</f>
        <v>701.31</v>
      </c>
      <c r="AC23" s="39">
        <v>0</v>
      </c>
      <c r="AD23" s="35">
        <f t="shared" si="10"/>
        <v>0</v>
      </c>
      <c r="AE23" s="38">
        <f>318+54.38+221.43</f>
        <v>593.80999999999995</v>
      </c>
      <c r="AF23" s="39">
        <v>0</v>
      </c>
      <c r="AG23" s="35">
        <f t="shared" si="11"/>
        <v>0</v>
      </c>
      <c r="AH23" s="38">
        <f>100+54.38+221.43</f>
        <v>375.81</v>
      </c>
      <c r="AI23" s="39">
        <v>0</v>
      </c>
      <c r="AJ23" s="35">
        <f t="shared" si="12"/>
        <v>0</v>
      </c>
      <c r="AK23" s="38">
        <f>200+54.38+221.43</f>
        <v>475.81</v>
      </c>
      <c r="AL23" s="39">
        <v>0</v>
      </c>
      <c r="AM23" s="35">
        <f t="shared" si="13"/>
        <v>0</v>
      </c>
      <c r="AN23" s="93">
        <f>400+54.34+221.42</f>
        <v>675.76</v>
      </c>
      <c r="AO23" s="39">
        <v>0</v>
      </c>
      <c r="AP23" s="89">
        <v>0</v>
      </c>
      <c r="AQ23" s="22"/>
    </row>
    <row r="24" spans="1:43" ht="26.25" customHeight="1" x14ac:dyDescent="0.25">
      <c r="A24" s="168"/>
      <c r="B24" s="154"/>
      <c r="C24" s="21" t="s">
        <v>23</v>
      </c>
      <c r="D24" s="51">
        <f>G24+J24+M24+P24+S24+V24+Y24+AB24+AE24+AH24+AK24+AN24</f>
        <v>0</v>
      </c>
      <c r="E24" s="51">
        <f t="shared" si="1"/>
        <v>0</v>
      </c>
      <c r="F24" s="33">
        <v>0</v>
      </c>
      <c r="G24" s="38">
        <v>0</v>
      </c>
      <c r="H24" s="33">
        <v>0</v>
      </c>
      <c r="I24" s="35">
        <v>0</v>
      </c>
      <c r="J24" s="38">
        <v>0</v>
      </c>
      <c r="K24" s="35">
        <v>0</v>
      </c>
      <c r="L24" s="35">
        <v>0</v>
      </c>
      <c r="M24" s="38">
        <v>0</v>
      </c>
      <c r="N24" s="39">
        <v>0</v>
      </c>
      <c r="O24" s="35">
        <v>0</v>
      </c>
      <c r="P24" s="38">
        <v>0</v>
      </c>
      <c r="Q24" s="39">
        <v>0</v>
      </c>
      <c r="R24" s="36">
        <v>0</v>
      </c>
      <c r="S24" s="38">
        <v>0</v>
      </c>
      <c r="T24" s="39">
        <v>0</v>
      </c>
      <c r="U24" s="35">
        <v>0</v>
      </c>
      <c r="V24" s="38">
        <v>0</v>
      </c>
      <c r="W24" s="48">
        <v>0</v>
      </c>
      <c r="X24" s="35">
        <v>0</v>
      </c>
      <c r="Y24" s="38">
        <v>0</v>
      </c>
      <c r="Z24" s="39">
        <v>0</v>
      </c>
      <c r="AA24" s="35">
        <v>0</v>
      </c>
      <c r="AB24" s="38">
        <v>0</v>
      </c>
      <c r="AC24" s="39">
        <v>0</v>
      </c>
      <c r="AD24" s="35">
        <v>0</v>
      </c>
      <c r="AE24" s="38">
        <v>0</v>
      </c>
      <c r="AF24" s="39">
        <v>0</v>
      </c>
      <c r="AG24" s="35">
        <v>0</v>
      </c>
      <c r="AH24" s="38">
        <v>0</v>
      </c>
      <c r="AI24" s="39">
        <v>0</v>
      </c>
      <c r="AJ24" s="35">
        <v>0</v>
      </c>
      <c r="AK24" s="38">
        <v>0</v>
      </c>
      <c r="AL24" s="39">
        <v>0</v>
      </c>
      <c r="AM24" s="35">
        <v>0</v>
      </c>
      <c r="AN24" s="93">
        <v>0</v>
      </c>
      <c r="AO24" s="39">
        <v>0</v>
      </c>
      <c r="AP24" s="89">
        <v>0</v>
      </c>
      <c r="AQ24" s="23"/>
    </row>
    <row r="25" spans="1:43" ht="26.25" customHeight="1" x14ac:dyDescent="0.25">
      <c r="A25" s="168"/>
      <c r="B25" s="154"/>
      <c r="C25" s="21" t="s">
        <v>24</v>
      </c>
      <c r="D25" s="51">
        <f t="shared" si="3"/>
        <v>0</v>
      </c>
      <c r="E25" s="51">
        <f t="shared" si="1"/>
        <v>0</v>
      </c>
      <c r="F25" s="33">
        <v>0</v>
      </c>
      <c r="G25" s="38">
        <v>0</v>
      </c>
      <c r="H25" s="33">
        <v>0</v>
      </c>
      <c r="I25" s="35">
        <v>0</v>
      </c>
      <c r="J25" s="38">
        <v>0</v>
      </c>
      <c r="K25" s="35">
        <v>0</v>
      </c>
      <c r="L25" s="35">
        <v>0</v>
      </c>
      <c r="M25" s="38">
        <v>0</v>
      </c>
      <c r="N25" s="39">
        <v>0</v>
      </c>
      <c r="O25" s="35">
        <v>0</v>
      </c>
      <c r="P25" s="38">
        <v>0</v>
      </c>
      <c r="Q25" s="39">
        <v>0</v>
      </c>
      <c r="R25" s="36">
        <v>0</v>
      </c>
      <c r="S25" s="38">
        <v>0</v>
      </c>
      <c r="T25" s="39">
        <v>0</v>
      </c>
      <c r="U25" s="35">
        <v>0</v>
      </c>
      <c r="V25" s="38">
        <v>0</v>
      </c>
      <c r="W25" s="48">
        <v>0</v>
      </c>
      <c r="X25" s="35">
        <v>0</v>
      </c>
      <c r="Y25" s="38">
        <v>0</v>
      </c>
      <c r="Z25" s="39">
        <v>0</v>
      </c>
      <c r="AA25" s="35">
        <v>0</v>
      </c>
      <c r="AB25" s="38">
        <v>0</v>
      </c>
      <c r="AC25" s="39">
        <v>0</v>
      </c>
      <c r="AD25" s="35">
        <v>0</v>
      </c>
      <c r="AE25" s="38">
        <v>0</v>
      </c>
      <c r="AF25" s="39">
        <v>0</v>
      </c>
      <c r="AG25" s="35">
        <v>0</v>
      </c>
      <c r="AH25" s="38">
        <v>0</v>
      </c>
      <c r="AI25" s="39">
        <v>0</v>
      </c>
      <c r="AJ25" s="35">
        <v>0</v>
      </c>
      <c r="AK25" s="38">
        <v>0</v>
      </c>
      <c r="AL25" s="39">
        <v>0</v>
      </c>
      <c r="AM25" s="35">
        <v>0</v>
      </c>
      <c r="AN25" s="93">
        <v>0</v>
      </c>
      <c r="AO25" s="39">
        <v>0</v>
      </c>
      <c r="AP25" s="39">
        <v>0</v>
      </c>
      <c r="AQ25" s="23"/>
    </row>
    <row r="26" spans="1:43" ht="26.25" customHeight="1" x14ac:dyDescent="0.25">
      <c r="A26" s="169"/>
      <c r="B26" s="155"/>
      <c r="C26" s="18" t="s">
        <v>25</v>
      </c>
      <c r="D26" s="51">
        <f t="shared" si="3"/>
        <v>0</v>
      </c>
      <c r="E26" s="51">
        <f t="shared" si="1"/>
        <v>0</v>
      </c>
      <c r="F26" s="33">
        <v>0</v>
      </c>
      <c r="G26" s="38">
        <v>0</v>
      </c>
      <c r="H26" s="33">
        <v>0</v>
      </c>
      <c r="I26" s="35">
        <v>0</v>
      </c>
      <c r="J26" s="38">
        <v>0</v>
      </c>
      <c r="K26" s="35">
        <v>0</v>
      </c>
      <c r="L26" s="35">
        <v>0</v>
      </c>
      <c r="M26" s="38">
        <v>0</v>
      </c>
      <c r="N26" s="39">
        <v>0</v>
      </c>
      <c r="O26" s="35">
        <v>0</v>
      </c>
      <c r="P26" s="38">
        <v>0</v>
      </c>
      <c r="Q26" s="39">
        <v>0</v>
      </c>
      <c r="R26" s="36">
        <v>0</v>
      </c>
      <c r="S26" s="38">
        <v>0</v>
      </c>
      <c r="T26" s="39">
        <v>0</v>
      </c>
      <c r="U26" s="35">
        <v>0</v>
      </c>
      <c r="V26" s="38">
        <v>0</v>
      </c>
      <c r="W26" s="48">
        <v>0</v>
      </c>
      <c r="X26" s="35">
        <v>0</v>
      </c>
      <c r="Y26" s="38">
        <v>0</v>
      </c>
      <c r="Z26" s="39">
        <v>0</v>
      </c>
      <c r="AA26" s="35">
        <v>0</v>
      </c>
      <c r="AB26" s="38">
        <v>0</v>
      </c>
      <c r="AC26" s="39">
        <v>0</v>
      </c>
      <c r="AD26" s="35">
        <v>0</v>
      </c>
      <c r="AE26" s="38">
        <v>0</v>
      </c>
      <c r="AF26" s="39">
        <v>0</v>
      </c>
      <c r="AG26" s="35">
        <v>0</v>
      </c>
      <c r="AH26" s="38">
        <v>0</v>
      </c>
      <c r="AI26" s="39">
        <v>0</v>
      </c>
      <c r="AJ26" s="35">
        <v>0</v>
      </c>
      <c r="AK26" s="38">
        <v>0</v>
      </c>
      <c r="AL26" s="39">
        <v>0</v>
      </c>
      <c r="AM26" s="35">
        <v>0</v>
      </c>
      <c r="AN26" s="93">
        <v>0</v>
      </c>
      <c r="AO26" s="39">
        <v>0</v>
      </c>
      <c r="AP26" s="39">
        <v>0</v>
      </c>
      <c r="AQ26" s="23"/>
    </row>
    <row r="27" spans="1:43" ht="39" customHeight="1" x14ac:dyDescent="0.25">
      <c r="A27" s="167" t="s">
        <v>31</v>
      </c>
      <c r="B27" s="153" t="s">
        <v>100</v>
      </c>
      <c r="C27" s="24" t="s">
        <v>21</v>
      </c>
      <c r="D27" s="50">
        <f>G27+J27+M27+P27+S27+V27+Y27+AB27+AE27+AH27+AK27+AN27</f>
        <v>405224.04000000004</v>
      </c>
      <c r="E27" s="49">
        <f t="shared" si="1"/>
        <v>146248.89000000001</v>
      </c>
      <c r="F27" s="40">
        <f t="shared" si="2"/>
        <v>36.0908721012702</v>
      </c>
      <c r="G27" s="42">
        <f>G28+G29</f>
        <v>13280.8</v>
      </c>
      <c r="H27" s="42">
        <f>H28+H29+H30+H31</f>
        <v>19047.900000000001</v>
      </c>
      <c r="I27" s="41">
        <f t="shared" si="17"/>
        <v>143.42434190711404</v>
      </c>
      <c r="J27" s="42">
        <f>J28+J29</f>
        <v>32635.8</v>
      </c>
      <c r="K27" s="41">
        <f>K28+K29+K30+K31</f>
        <v>21818.799999999999</v>
      </c>
      <c r="L27" s="41">
        <f t="shared" si="4"/>
        <v>66.855416444517985</v>
      </c>
      <c r="M27" s="42">
        <f>M28+M29</f>
        <v>35797.5</v>
      </c>
      <c r="N27" s="42">
        <f>N28+N29+N30+N31</f>
        <v>30671.88</v>
      </c>
      <c r="O27" s="41">
        <f t="shared" si="5"/>
        <v>85.681625811858382</v>
      </c>
      <c r="P27" s="42">
        <f>P28+P29</f>
        <v>34262.899999999994</v>
      </c>
      <c r="Q27" s="42">
        <f>Q28+Q29+Q30</f>
        <v>44236.71</v>
      </c>
      <c r="R27" s="41">
        <f t="shared" si="6"/>
        <v>129.10964921241344</v>
      </c>
      <c r="S27" s="42">
        <f>S28+S29</f>
        <v>41712.299999999996</v>
      </c>
      <c r="T27" s="42">
        <f>T28+T29+T30+T31</f>
        <v>30473.599999999999</v>
      </c>
      <c r="U27" s="41">
        <f t="shared" si="7"/>
        <v>73.056628380597573</v>
      </c>
      <c r="V27" s="42">
        <f>V28+V29</f>
        <v>45118.53</v>
      </c>
      <c r="W27" s="50">
        <f>W28+W29+W30+W31</f>
        <v>0</v>
      </c>
      <c r="X27" s="41">
        <f t="shared" si="8"/>
        <v>0</v>
      </c>
      <c r="Y27" s="42">
        <f>Y28+Y29</f>
        <v>38073.140000000007</v>
      </c>
      <c r="Z27" s="42">
        <f>Z28+Z29</f>
        <v>0</v>
      </c>
      <c r="AA27" s="41">
        <f t="shared" si="9"/>
        <v>0</v>
      </c>
      <c r="AB27" s="42">
        <f>AB28+AB29</f>
        <v>38350.340000000004</v>
      </c>
      <c r="AC27" s="40">
        <f>AC28+AC29</f>
        <v>0</v>
      </c>
      <c r="AD27" s="41">
        <f t="shared" si="10"/>
        <v>0</v>
      </c>
      <c r="AE27" s="42">
        <f>AE28+AE29</f>
        <v>33948.44</v>
      </c>
      <c r="AF27" s="42">
        <f>AF28+AF29</f>
        <v>0</v>
      </c>
      <c r="AG27" s="41">
        <f t="shared" si="11"/>
        <v>0</v>
      </c>
      <c r="AH27" s="42">
        <f>AH28+AH29</f>
        <v>31320.44</v>
      </c>
      <c r="AI27" s="42">
        <f>AI28+AI29</f>
        <v>0</v>
      </c>
      <c r="AJ27" s="41">
        <f t="shared" si="12"/>
        <v>0</v>
      </c>
      <c r="AK27" s="42">
        <f>AK28+AK29</f>
        <v>32213.34</v>
      </c>
      <c r="AL27" s="42">
        <f>AL28+AL29</f>
        <v>0</v>
      </c>
      <c r="AM27" s="41">
        <f t="shared" si="13"/>
        <v>0</v>
      </c>
      <c r="AN27" s="95">
        <f>AN28+AN29</f>
        <v>28510.510000000002</v>
      </c>
      <c r="AO27" s="42">
        <v>0</v>
      </c>
      <c r="AP27" s="42">
        <v>0</v>
      </c>
      <c r="AQ27" s="19"/>
    </row>
    <row r="28" spans="1:43" ht="26.25" customHeight="1" x14ac:dyDescent="0.25">
      <c r="A28" s="168"/>
      <c r="B28" s="154"/>
      <c r="C28" s="18" t="s">
        <v>22</v>
      </c>
      <c r="D28" s="52">
        <f>G28+J28+M28+P28+S28+V28+Y28+AB28+AE28+AH28+AK28+AN28</f>
        <v>405224.04000000004</v>
      </c>
      <c r="E28" s="51">
        <f>H28+K28+N28+Q28+T28+W28+Z28+AC28+AF28+AI28+AL28+AO28</f>
        <v>146248.89000000001</v>
      </c>
      <c r="F28" s="33">
        <v>0</v>
      </c>
      <c r="G28" s="38">
        <v>13280.8</v>
      </c>
      <c r="H28" s="33">
        <v>19047.900000000001</v>
      </c>
      <c r="I28" s="35">
        <f>H28/G28*100</f>
        <v>143.42434190711404</v>
      </c>
      <c r="J28" s="38">
        <f>32638.8-3</f>
        <v>32635.8</v>
      </c>
      <c r="K28" s="35">
        <v>21818.799999999999</v>
      </c>
      <c r="L28" s="35">
        <v>0</v>
      </c>
      <c r="M28" s="38">
        <v>35797.5</v>
      </c>
      <c r="N28" s="33">
        <v>30671.88</v>
      </c>
      <c r="O28" s="35">
        <v>0</v>
      </c>
      <c r="P28" s="38">
        <f>33901.7+361.2</f>
        <v>34262.899999999994</v>
      </c>
      <c r="Q28" s="33">
        <v>44236.71</v>
      </c>
      <c r="R28" s="36">
        <f t="shared" si="6"/>
        <v>129.10964921241344</v>
      </c>
      <c r="S28" s="38">
        <f>41351.1+361.2</f>
        <v>41712.299999999996</v>
      </c>
      <c r="T28" s="119">
        <v>30473.599999999999</v>
      </c>
      <c r="U28" s="35">
        <f t="shared" si="7"/>
        <v>73.056628380597573</v>
      </c>
      <c r="V28" s="38">
        <f>44739.7+361.22+17.61</f>
        <v>45118.53</v>
      </c>
      <c r="W28" s="48">
        <v>0</v>
      </c>
      <c r="X28" s="35">
        <v>0</v>
      </c>
      <c r="Y28" s="38">
        <f>37694.3+361.23+17.61</f>
        <v>38073.140000000007</v>
      </c>
      <c r="Z28" s="39">
        <v>0</v>
      </c>
      <c r="AA28" s="35">
        <f t="shared" si="9"/>
        <v>0</v>
      </c>
      <c r="AB28" s="38">
        <f>37971.5+361.23+17.61</f>
        <v>38350.340000000004</v>
      </c>
      <c r="AC28" s="39">
        <v>0</v>
      </c>
      <c r="AD28" s="35">
        <v>0</v>
      </c>
      <c r="AE28" s="38">
        <f>33569.6+361.23+17.61</f>
        <v>33948.44</v>
      </c>
      <c r="AF28" s="39">
        <v>0</v>
      </c>
      <c r="AG28" s="35">
        <v>0</v>
      </c>
      <c r="AH28" s="38">
        <f>30941.6+361.23+17.61</f>
        <v>31320.44</v>
      </c>
      <c r="AI28" s="39">
        <v>0</v>
      </c>
      <c r="AJ28" s="35">
        <v>0</v>
      </c>
      <c r="AK28" s="38">
        <f>31834.5+361.23+17.61</f>
        <v>32213.34</v>
      </c>
      <c r="AL28" s="39">
        <v>0</v>
      </c>
      <c r="AM28" s="35">
        <v>0</v>
      </c>
      <c r="AN28" s="93">
        <f>28131.7+361.23+17.58</f>
        <v>28510.510000000002</v>
      </c>
      <c r="AO28" s="39">
        <v>0</v>
      </c>
      <c r="AP28" s="89">
        <v>0</v>
      </c>
      <c r="AQ28" s="22"/>
    </row>
    <row r="29" spans="1:43" ht="26.25" customHeight="1" x14ac:dyDescent="0.25">
      <c r="A29" s="168"/>
      <c r="B29" s="154"/>
      <c r="C29" s="21" t="s">
        <v>23</v>
      </c>
      <c r="D29" s="52">
        <f>G29+J29+M29+P29+S29+V29+Y29+AB29+AE29+AH29+AK29+AN29</f>
        <v>0</v>
      </c>
      <c r="E29" s="51">
        <f t="shared" si="1"/>
        <v>0</v>
      </c>
      <c r="F29" s="33" t="e">
        <f t="shared" si="2"/>
        <v>#DIV/0!</v>
      </c>
      <c r="G29" s="38">
        <v>0</v>
      </c>
      <c r="H29" s="33">
        <v>0</v>
      </c>
      <c r="I29" s="35" t="e">
        <f t="shared" si="17"/>
        <v>#DIV/0!</v>
      </c>
      <c r="J29" s="38">
        <v>0</v>
      </c>
      <c r="K29" s="35">
        <v>0</v>
      </c>
      <c r="L29" s="35" t="e">
        <f t="shared" si="4"/>
        <v>#DIV/0!</v>
      </c>
      <c r="M29" s="38">
        <v>0</v>
      </c>
      <c r="N29" s="39">
        <v>0</v>
      </c>
      <c r="O29" s="35" t="e">
        <f t="shared" si="5"/>
        <v>#DIV/0!</v>
      </c>
      <c r="P29" s="38">
        <v>0</v>
      </c>
      <c r="Q29" s="39">
        <v>0</v>
      </c>
      <c r="R29" s="36" t="e">
        <f t="shared" si="6"/>
        <v>#DIV/0!</v>
      </c>
      <c r="S29" s="38">
        <v>0</v>
      </c>
      <c r="T29" s="39">
        <v>0</v>
      </c>
      <c r="U29" s="35" t="e">
        <f t="shared" si="7"/>
        <v>#DIV/0!</v>
      </c>
      <c r="V29" s="38">
        <v>0</v>
      </c>
      <c r="W29" s="48">
        <v>0</v>
      </c>
      <c r="X29" s="35" t="e">
        <f t="shared" si="8"/>
        <v>#DIV/0!</v>
      </c>
      <c r="Y29" s="38">
        <v>0</v>
      </c>
      <c r="Z29" s="39">
        <v>0</v>
      </c>
      <c r="AA29" s="35" t="e">
        <f t="shared" si="9"/>
        <v>#DIV/0!</v>
      </c>
      <c r="AB29" s="38">
        <v>0</v>
      </c>
      <c r="AC29" s="39">
        <v>0</v>
      </c>
      <c r="AD29" s="35" t="e">
        <f t="shared" si="10"/>
        <v>#DIV/0!</v>
      </c>
      <c r="AE29" s="38">
        <v>0</v>
      </c>
      <c r="AF29" s="39">
        <v>0</v>
      </c>
      <c r="AG29" s="35" t="e">
        <f t="shared" si="11"/>
        <v>#DIV/0!</v>
      </c>
      <c r="AH29" s="38">
        <v>0</v>
      </c>
      <c r="AI29" s="39">
        <v>0</v>
      </c>
      <c r="AJ29" s="35">
        <v>0</v>
      </c>
      <c r="AK29" s="38">
        <v>0</v>
      </c>
      <c r="AL29" s="39">
        <v>0</v>
      </c>
      <c r="AM29" s="35" t="e">
        <f t="shared" si="13"/>
        <v>#DIV/0!</v>
      </c>
      <c r="AN29" s="93">
        <v>0</v>
      </c>
      <c r="AO29" s="39">
        <v>0</v>
      </c>
      <c r="AP29" s="89">
        <v>0</v>
      </c>
      <c r="AQ29" s="23"/>
    </row>
    <row r="30" spans="1:43" ht="26.25" customHeight="1" x14ac:dyDescent="0.25">
      <c r="A30" s="168"/>
      <c r="B30" s="154"/>
      <c r="C30" s="21" t="s">
        <v>24</v>
      </c>
      <c r="D30" s="52">
        <f t="shared" ref="D30:D31" si="18">G30+J30+M30+P30+S30+V30+Y30+AB30+AE30+AH30+AK30+AN30</f>
        <v>0</v>
      </c>
      <c r="E30" s="51">
        <f t="shared" si="1"/>
        <v>0</v>
      </c>
      <c r="F30" s="33">
        <v>0</v>
      </c>
      <c r="G30" s="38">
        <v>0</v>
      </c>
      <c r="H30" s="33">
        <v>0</v>
      </c>
      <c r="I30" s="35">
        <v>0</v>
      </c>
      <c r="J30" s="38">
        <v>0</v>
      </c>
      <c r="K30" s="35">
        <v>0</v>
      </c>
      <c r="L30" s="35">
        <v>0</v>
      </c>
      <c r="M30" s="38">
        <v>0</v>
      </c>
      <c r="N30" s="39">
        <v>0</v>
      </c>
      <c r="O30" s="35">
        <v>0</v>
      </c>
      <c r="P30" s="38">
        <v>0</v>
      </c>
      <c r="Q30" s="39">
        <v>0</v>
      </c>
      <c r="R30" s="36">
        <v>0</v>
      </c>
      <c r="S30" s="38">
        <v>0</v>
      </c>
      <c r="T30" s="39">
        <v>0</v>
      </c>
      <c r="U30" s="35">
        <v>0</v>
      </c>
      <c r="V30" s="38">
        <v>0</v>
      </c>
      <c r="W30" s="48">
        <v>0</v>
      </c>
      <c r="X30" s="35">
        <v>0</v>
      </c>
      <c r="Y30" s="38">
        <v>0</v>
      </c>
      <c r="Z30" s="39">
        <v>0</v>
      </c>
      <c r="AA30" s="35">
        <v>0</v>
      </c>
      <c r="AB30" s="38">
        <v>0</v>
      </c>
      <c r="AC30" s="96">
        <v>0</v>
      </c>
      <c r="AD30" s="35">
        <v>0</v>
      </c>
      <c r="AE30" s="38">
        <v>0</v>
      </c>
      <c r="AF30" s="39">
        <v>0</v>
      </c>
      <c r="AG30" s="35">
        <v>0</v>
      </c>
      <c r="AH30" s="38">
        <v>0</v>
      </c>
      <c r="AI30" s="39">
        <v>0</v>
      </c>
      <c r="AJ30" s="35">
        <v>0</v>
      </c>
      <c r="AK30" s="38">
        <v>0</v>
      </c>
      <c r="AL30" s="39">
        <v>0</v>
      </c>
      <c r="AM30" s="35">
        <v>0</v>
      </c>
      <c r="AN30" s="93">
        <v>0</v>
      </c>
      <c r="AO30" s="39">
        <v>0</v>
      </c>
      <c r="AP30" s="39">
        <v>0</v>
      </c>
      <c r="AQ30" s="23"/>
    </row>
    <row r="31" spans="1:43" ht="26.25" customHeight="1" x14ac:dyDescent="0.25">
      <c r="A31" s="169"/>
      <c r="B31" s="155"/>
      <c r="C31" s="18" t="s">
        <v>25</v>
      </c>
      <c r="D31" s="52">
        <f t="shared" si="18"/>
        <v>0</v>
      </c>
      <c r="E31" s="51">
        <f t="shared" si="1"/>
        <v>0</v>
      </c>
      <c r="F31" s="33">
        <v>0</v>
      </c>
      <c r="G31" s="38">
        <v>0</v>
      </c>
      <c r="H31" s="33">
        <v>0</v>
      </c>
      <c r="I31" s="35">
        <v>0</v>
      </c>
      <c r="J31" s="38">
        <v>0</v>
      </c>
      <c r="K31" s="35">
        <v>0</v>
      </c>
      <c r="L31" s="35">
        <v>0</v>
      </c>
      <c r="M31" s="38">
        <v>0</v>
      </c>
      <c r="N31" s="39">
        <v>0</v>
      </c>
      <c r="O31" s="35">
        <v>0</v>
      </c>
      <c r="P31" s="38">
        <v>0</v>
      </c>
      <c r="Q31" s="39">
        <v>0</v>
      </c>
      <c r="R31" s="36">
        <v>0</v>
      </c>
      <c r="S31" s="38">
        <v>0</v>
      </c>
      <c r="T31" s="39">
        <v>0</v>
      </c>
      <c r="U31" s="35">
        <v>0</v>
      </c>
      <c r="V31" s="38">
        <v>0</v>
      </c>
      <c r="W31" s="48">
        <v>0</v>
      </c>
      <c r="X31" s="35">
        <v>0</v>
      </c>
      <c r="Y31" s="38">
        <v>0</v>
      </c>
      <c r="Z31" s="39">
        <v>0</v>
      </c>
      <c r="AA31" s="35">
        <v>0</v>
      </c>
      <c r="AB31" s="93">
        <v>0</v>
      </c>
      <c r="AC31" s="39">
        <v>0</v>
      </c>
      <c r="AD31" s="35">
        <v>0</v>
      </c>
      <c r="AE31" s="38">
        <v>0</v>
      </c>
      <c r="AF31" s="39">
        <v>0</v>
      </c>
      <c r="AG31" s="35">
        <v>0</v>
      </c>
      <c r="AH31" s="38">
        <v>0</v>
      </c>
      <c r="AI31" s="39">
        <v>0</v>
      </c>
      <c r="AJ31" s="35">
        <v>0</v>
      </c>
      <c r="AK31" s="38">
        <v>0</v>
      </c>
      <c r="AL31" s="39">
        <v>0</v>
      </c>
      <c r="AM31" s="35">
        <v>0</v>
      </c>
      <c r="AN31" s="38">
        <v>0</v>
      </c>
      <c r="AO31" s="39">
        <v>0</v>
      </c>
      <c r="AP31" s="39">
        <v>0</v>
      </c>
      <c r="AQ31" s="23"/>
    </row>
    <row r="32" spans="1:43" x14ac:dyDescent="0.25">
      <c r="A32" s="3"/>
      <c r="B32" s="132"/>
      <c r="C32" s="131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7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7"/>
      <c r="AO32" s="27"/>
      <c r="AP32" s="28"/>
      <c r="AQ32" s="28"/>
    </row>
    <row r="33" spans="1:43" x14ac:dyDescent="0.25">
      <c r="A33" s="3"/>
      <c r="B33" s="170" t="s">
        <v>44</v>
      </c>
      <c r="C33" s="170"/>
      <c r="D33" s="170"/>
      <c r="E33" s="170"/>
      <c r="F33" s="170"/>
      <c r="G33" s="170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7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7"/>
      <c r="AO33" s="27"/>
      <c r="AP33" s="28"/>
      <c r="AQ33" s="28"/>
    </row>
    <row r="34" spans="1:43" ht="32.25" customHeight="1" x14ac:dyDescent="0.25">
      <c r="A34" s="3"/>
      <c r="B34" s="166" t="s">
        <v>42</v>
      </c>
      <c r="C34" s="166"/>
      <c r="D34" s="166"/>
      <c r="E34" s="166"/>
      <c r="F34" s="166"/>
      <c r="G34" s="166"/>
      <c r="H34" s="166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7"/>
      <c r="AP34" s="28"/>
      <c r="AQ34" s="28"/>
    </row>
    <row r="35" spans="1:43" x14ac:dyDescent="0.25">
      <c r="B35" t="s">
        <v>45</v>
      </c>
      <c r="G35" s="45"/>
      <c r="M35" s="45"/>
    </row>
  </sheetData>
  <mergeCells count="34">
    <mergeCell ref="AK10:AM10"/>
    <mergeCell ref="B33:G33"/>
    <mergeCell ref="B34:H34"/>
    <mergeCell ref="A22:A26"/>
    <mergeCell ref="B22:B26"/>
    <mergeCell ref="A27:A31"/>
    <mergeCell ref="B27:B31"/>
    <mergeCell ref="AH10:AJ10"/>
    <mergeCell ref="A12:A16"/>
    <mergeCell ref="B12:B16"/>
    <mergeCell ref="A17:A21"/>
    <mergeCell ref="B17:B21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AN10:AP10"/>
    <mergeCell ref="S10:U10"/>
    <mergeCell ref="V10:X10"/>
    <mergeCell ref="Y10:AA10"/>
    <mergeCell ref="AB10:AD10"/>
    <mergeCell ref="AE10:AG10"/>
    <mergeCell ref="E6:Y6"/>
    <mergeCell ref="D1:O1"/>
    <mergeCell ref="AL1:AP1"/>
    <mergeCell ref="Z2:AP2"/>
    <mergeCell ref="AL3:AP3"/>
    <mergeCell ref="E5:Y5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68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янв </vt:lpstr>
      <vt:lpstr>янв  (1)</vt:lpstr>
      <vt:lpstr>фев</vt:lpstr>
      <vt:lpstr>март</vt:lpstr>
      <vt:lpstr>март (3)</vt:lpstr>
      <vt:lpstr>апр</vt:lpstr>
      <vt:lpstr>апр (4)</vt:lpstr>
      <vt:lpstr>май</vt:lpstr>
      <vt:lpstr>май (5)</vt:lpstr>
      <vt:lpstr>июнь</vt:lpstr>
      <vt:lpstr>июль</vt:lpstr>
      <vt:lpstr>апр!Область_печати</vt:lpstr>
      <vt:lpstr>'апр (4)'!Область_печати</vt:lpstr>
      <vt:lpstr>июль!Область_печати</vt:lpstr>
      <vt:lpstr>июнь!Область_печати</vt:lpstr>
      <vt:lpstr>май!Область_печати</vt:lpstr>
      <vt:lpstr>'май (5)'!Область_печати</vt:lpstr>
      <vt:lpstr>март!Область_печати</vt:lpstr>
      <vt:lpstr>'март (3)'!Область_печати</vt:lpstr>
      <vt:lpstr>фев!Область_печати</vt:lpstr>
      <vt:lpstr>'янв '!Область_печати</vt:lpstr>
      <vt:lpstr>'янв  (1)'!Область_печати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2019-08-05T07:20:52Z</dcterms:modified>
</cp:coreProperties>
</file>