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фев (2)" sheetId="30" r:id="rId1"/>
  </sheets>
  <definedNames>
    <definedName name="_xlnm.Print_Area" localSheetId="0">'фев (2)'!$A$1:$AW$43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0" l="1"/>
  <c r="D31" i="30"/>
  <c r="E30" i="30"/>
  <c r="D30" i="30"/>
  <c r="E29" i="30"/>
  <c r="D29" i="30"/>
  <c r="AN28" i="30"/>
  <c r="AN27" i="30" s="1"/>
  <c r="AK28" i="30"/>
  <c r="AK27" i="30" s="1"/>
  <c r="AH28" i="30"/>
  <c r="AE28" i="30"/>
  <c r="AE27" i="30" s="1"/>
  <c r="AB28" i="30"/>
  <c r="AB27" i="30" s="1"/>
  <c r="Y28" i="30"/>
  <c r="Y27" i="30" s="1"/>
  <c r="V28" i="30"/>
  <c r="S28" i="30"/>
  <c r="S27" i="30" s="1"/>
  <c r="P28" i="30"/>
  <c r="P27" i="30" s="1"/>
  <c r="M28" i="30"/>
  <c r="J28" i="30"/>
  <c r="J27" i="30" s="1"/>
  <c r="I28" i="30"/>
  <c r="E28" i="30"/>
  <c r="AH27" i="30"/>
  <c r="V27" i="30"/>
  <c r="K27" i="30"/>
  <c r="H27" i="30"/>
  <c r="G27" i="30"/>
  <c r="E27" i="30"/>
  <c r="E26" i="30"/>
  <c r="D26" i="30"/>
  <c r="E25" i="30"/>
  <c r="D25" i="30"/>
  <c r="E24" i="30"/>
  <c r="D24" i="30"/>
  <c r="AN23" i="30"/>
  <c r="AK23" i="30"/>
  <c r="AH23" i="30"/>
  <c r="AE23" i="30"/>
  <c r="AB23" i="30"/>
  <c r="Y23" i="30"/>
  <c r="V23" i="30"/>
  <c r="S23" i="30"/>
  <c r="P23" i="30"/>
  <c r="M23" i="30"/>
  <c r="J23" i="30"/>
  <c r="E23" i="30"/>
  <c r="AN22" i="30"/>
  <c r="AK22" i="30"/>
  <c r="AH22" i="30"/>
  <c r="AE22" i="30"/>
  <c r="AB22" i="30"/>
  <c r="Y22" i="30"/>
  <c r="V22" i="30"/>
  <c r="S22" i="30"/>
  <c r="P22" i="30"/>
  <c r="M22" i="30"/>
  <c r="K22" i="30"/>
  <c r="H22" i="30"/>
  <c r="E22" i="30" s="1"/>
  <c r="G22" i="30"/>
  <c r="E21" i="30"/>
  <c r="D21" i="30"/>
  <c r="S20" i="30"/>
  <c r="P20" i="30"/>
  <c r="E20" i="30"/>
  <c r="AN19" i="30"/>
  <c r="AK19" i="30"/>
  <c r="AK14" i="30" s="1"/>
  <c r="AH19" i="30"/>
  <c r="AE19" i="30"/>
  <c r="AE14" i="30" s="1"/>
  <c r="AB19" i="30"/>
  <c r="Y19" i="30"/>
  <c r="Y14" i="30" s="1"/>
  <c r="V19" i="30"/>
  <c r="S19" i="30"/>
  <c r="S14" i="30" s="1"/>
  <c r="P19" i="30"/>
  <c r="M19" i="30"/>
  <c r="M14" i="30" s="1"/>
  <c r="J19" i="30"/>
  <c r="E19" i="30"/>
  <c r="AN18" i="30"/>
  <c r="AN17" i="30" s="1"/>
  <c r="AK18" i="30"/>
  <c r="AH18" i="30"/>
  <c r="AH17" i="30" s="1"/>
  <c r="AH12" i="30" s="1"/>
  <c r="AE18" i="30"/>
  <c r="AB18" i="30"/>
  <c r="AB17" i="30" s="1"/>
  <c r="Y18" i="30"/>
  <c r="V18" i="30"/>
  <c r="V17" i="30" s="1"/>
  <c r="V12" i="30" s="1"/>
  <c r="S18" i="30"/>
  <c r="P18" i="30"/>
  <c r="M18" i="30"/>
  <c r="J18" i="30"/>
  <c r="J17" i="30" s="1"/>
  <c r="E18" i="30"/>
  <c r="D18" i="30"/>
  <c r="AK17" i="30"/>
  <c r="AK12" i="30" s="1"/>
  <c r="AE17" i="30"/>
  <c r="AE12" i="30" s="1"/>
  <c r="Y17" i="30"/>
  <c r="Y12" i="30" s="1"/>
  <c r="S17" i="30"/>
  <c r="S12" i="30" s="1"/>
  <c r="K17" i="30"/>
  <c r="H17" i="30"/>
  <c r="G17" i="30"/>
  <c r="E17" i="30"/>
  <c r="AN16" i="30"/>
  <c r="AK16" i="30"/>
  <c r="AH16" i="30"/>
  <c r="AE16" i="30"/>
  <c r="AB16" i="30"/>
  <c r="V16" i="30"/>
  <c r="S16" i="30"/>
  <c r="P16" i="30"/>
  <c r="M16" i="30"/>
  <c r="J16" i="30"/>
  <c r="H16" i="30"/>
  <c r="E16" i="30" s="1"/>
  <c r="G16" i="30"/>
  <c r="D16" i="30" s="1"/>
  <c r="AN15" i="30"/>
  <c r="AK15" i="30"/>
  <c r="AH15" i="30"/>
  <c r="AE15" i="30"/>
  <c r="AB15" i="30"/>
  <c r="V15" i="30"/>
  <c r="S15" i="30"/>
  <c r="P15" i="30"/>
  <c r="M15" i="30"/>
  <c r="J15" i="30"/>
  <c r="H15" i="30"/>
  <c r="G15" i="30"/>
  <c r="E15" i="30"/>
  <c r="AN14" i="30"/>
  <c r="AH14" i="30"/>
  <c r="AB14" i="30"/>
  <c r="V14" i="30"/>
  <c r="P14" i="30"/>
  <c r="J14" i="30"/>
  <c r="H14" i="30"/>
  <c r="G14" i="30"/>
  <c r="D14" i="30" s="1"/>
  <c r="E14" i="30"/>
  <c r="AN13" i="30"/>
  <c r="AB13" i="30"/>
  <c r="P13" i="30"/>
  <c r="K13" i="30"/>
  <c r="H13" i="30"/>
  <c r="G13" i="30"/>
  <c r="E13" i="30"/>
  <c r="K12" i="30"/>
  <c r="G12" i="30"/>
  <c r="AB12" i="30" l="1"/>
  <c r="AN12" i="30"/>
  <c r="F15" i="30"/>
  <c r="V13" i="30"/>
  <c r="AH13" i="30"/>
  <c r="D15" i="30"/>
  <c r="M17" i="30"/>
  <c r="M13" i="30"/>
  <c r="S13" i="30"/>
  <c r="Y13" i="30"/>
  <c r="AE13" i="30"/>
  <c r="AK13" i="30"/>
  <c r="D19" i="30"/>
  <c r="F19" i="30" s="1"/>
  <c r="D20" i="30"/>
  <c r="D23" i="30"/>
  <c r="F23" i="30" s="1"/>
  <c r="D28" i="30"/>
  <c r="I13" i="30"/>
  <c r="F14" i="30"/>
  <c r="F16" i="30"/>
  <c r="F18" i="30"/>
  <c r="F25" i="30"/>
  <c r="I27" i="30"/>
  <c r="H12" i="30"/>
  <c r="J13" i="30"/>
  <c r="D13" i="30" s="1"/>
  <c r="P17" i="30"/>
  <c r="P12" i="30" s="1"/>
  <c r="F20" i="30"/>
  <c r="J22" i="30"/>
  <c r="D22" i="30" s="1"/>
  <c r="F24" i="30"/>
  <c r="M27" i="30"/>
  <c r="D27" i="30" s="1"/>
  <c r="F28" i="30"/>
  <c r="F13" i="30" l="1"/>
  <c r="F27" i="30"/>
  <c r="I12" i="30"/>
  <c r="E12" i="30"/>
  <c r="F22" i="30"/>
  <c r="M12" i="30"/>
  <c r="D17" i="30"/>
  <c r="J12" i="30"/>
  <c r="D12" i="30" l="1"/>
  <c r="F17" i="30"/>
  <c r="F12" i="30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<sst xmlns="http://schemas.openxmlformats.org/spreadsheetml/2006/main" count="92" uniqueCount="43">
  <si>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</si>
  <si>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</si>
  <si>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</si>
  <si>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</si>
  <si>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</si>
  <si>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</si>
  <si>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</si>
  <si>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</si>
  <si>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</si>
  <si>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</si>
  <si>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</si>
  <si>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</si>
  <si>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</si>
  <si>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</si>
  <si>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</si>
  <si>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</si>
  <si>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</si>
  <si>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</si>
  <si>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</si>
  <si>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</si>
  <si>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</si>
  <si>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</si>
  <si>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</si>
  <si>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</si>
  <si>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</si>
  <si>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</si>
  <si>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</si>
  <si>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</si>
  <si>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</si>
  <si>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</si>
  <si>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</si>
  <si>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</si>
  <si>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</si>
  <si>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</si>
  <si>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</si>
  <si>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</si>
  <si>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</si>
  <si>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</si>
  <si>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</si>
  <si>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2021 год</t>
  </si>
  <si>
    <t xml:space="preserve">Сетевой график о финансовом обеспечении реализации в 2021 году муниципальной программы </t>
  </si>
  <si>
    <t>городской округ город Мегион по состоянию на 01.03.2021</t>
  </si>
  <si>
    <t>Исполнитель: О.О. Шалина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</si>
</sst>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1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7" fontId="10" fillId="2" borderId="6" xfId="0" applyNumberFormat="1" applyFont="1" applyFill="1" applyBorder="1" applyAlignment="1">
      <alignment horizontal="center" vertical="center"/>
    </xf>
    <xf numFmtId="167" fontId="2" fillId="7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7" borderId="3" xfId="0" applyNumberFormat="1" applyFont="1" applyFill="1" applyBorder="1" applyAlignment="1">
      <alignment horizontal="center" vertical="center" wrapText="1"/>
    </xf>
    <xf numFmtId="164" fontId="9" fillId="7" borderId="4" xfId="0" applyNumberFormat="1" applyFont="1" applyFill="1" applyBorder="1" applyAlignment="1">
      <alignment horizontal="center" vertical="center" wrapText="1"/>
    </xf>
    <xf numFmtId="164" fontId="9" fillId="7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D1" zoomScale="75" zoomScaleNormal="100" zoomScaleSheetLayoutView="75" workbookViewId="0">
      <selection activeCell="L33" sqref="L33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0" t="s">
        <v>28</v>
      </c>
      <c r="AM1" s="71"/>
      <c r="AN1" s="71"/>
      <c r="AO1" s="71"/>
      <c r="AP1" s="71"/>
      <c r="AQ1" s="4"/>
    </row>
    <row r="2" spans="1:43" x14ac:dyDescent="0.25">
      <c r="A2" s="4"/>
      <c r="B2" s="51"/>
      <c r="C2" s="52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53"/>
      <c r="Q2" s="53"/>
      <c r="R2" s="6"/>
      <c r="S2" s="6"/>
      <c r="T2" s="6"/>
      <c r="U2" s="6"/>
      <c r="V2" s="6"/>
      <c r="W2" s="7"/>
      <c r="X2" s="6"/>
      <c r="Y2" s="6"/>
      <c r="Z2" s="72" t="s">
        <v>29</v>
      </c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4"/>
    </row>
    <row r="3" spans="1:43" x14ac:dyDescent="0.25">
      <c r="A3" s="4"/>
      <c r="B3" s="51"/>
      <c r="C3" s="52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0" t="s">
        <v>30</v>
      </c>
      <c r="AM3" s="71"/>
      <c r="AN3" s="71"/>
      <c r="AO3" s="71"/>
      <c r="AP3" s="71"/>
      <c r="AQ3" s="4"/>
    </row>
    <row r="4" spans="1:43" x14ac:dyDescent="0.25">
      <c r="A4" s="4"/>
      <c r="B4" s="51"/>
      <c r="C4" s="52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0"/>
      <c r="E5" s="67" t="s">
        <v>40</v>
      </c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0"/>
      <c r="E6" s="67" t="s">
        <v>36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0"/>
      <c r="E7" s="67" t="s">
        <v>41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3" t="s">
        <v>31</v>
      </c>
      <c r="AM9" s="74"/>
      <c r="AN9" s="74"/>
      <c r="AO9" s="74"/>
      <c r="AP9" s="74"/>
      <c r="AQ9" s="4"/>
    </row>
    <row r="10" spans="1:43" ht="15" customHeight="1" x14ac:dyDescent="0.25">
      <c r="A10" s="75" t="s">
        <v>0</v>
      </c>
      <c r="B10" s="75" t="s">
        <v>1</v>
      </c>
      <c r="C10" s="77" t="s">
        <v>2</v>
      </c>
      <c r="D10" s="79" t="s">
        <v>39</v>
      </c>
      <c r="E10" s="80"/>
      <c r="F10" s="81"/>
      <c r="G10" s="105" t="s">
        <v>3</v>
      </c>
      <c r="H10" s="106"/>
      <c r="I10" s="107"/>
      <c r="J10" s="108" t="s">
        <v>4</v>
      </c>
      <c r="K10" s="109"/>
      <c r="L10" s="110"/>
      <c r="M10" s="82" t="s">
        <v>5</v>
      </c>
      <c r="N10" s="83"/>
      <c r="O10" s="84"/>
      <c r="P10" s="82" t="s">
        <v>6</v>
      </c>
      <c r="Q10" s="83"/>
      <c r="R10" s="84"/>
      <c r="S10" s="85" t="s">
        <v>7</v>
      </c>
      <c r="T10" s="85"/>
      <c r="U10" s="85"/>
      <c r="V10" s="86" t="s">
        <v>8</v>
      </c>
      <c r="W10" s="86"/>
      <c r="X10" s="86"/>
      <c r="Y10" s="86" t="s">
        <v>9</v>
      </c>
      <c r="Z10" s="86"/>
      <c r="AA10" s="86"/>
      <c r="AB10" s="86" t="s">
        <v>10</v>
      </c>
      <c r="AC10" s="86"/>
      <c r="AD10" s="86"/>
      <c r="AE10" s="86" t="s">
        <v>11</v>
      </c>
      <c r="AF10" s="86"/>
      <c r="AG10" s="86"/>
      <c r="AH10" s="86" t="s">
        <v>12</v>
      </c>
      <c r="AI10" s="86"/>
      <c r="AJ10" s="86"/>
      <c r="AK10" s="85" t="s">
        <v>13</v>
      </c>
      <c r="AL10" s="85"/>
      <c r="AM10" s="85"/>
      <c r="AN10" s="102" t="s">
        <v>14</v>
      </c>
      <c r="AO10" s="102"/>
      <c r="AP10" s="102"/>
      <c r="AQ10" s="8"/>
    </row>
    <row r="11" spans="1:43" ht="15" customHeight="1" x14ac:dyDescent="0.25">
      <c r="A11" s="76"/>
      <c r="B11" s="76"/>
      <c r="C11" s="78"/>
      <c r="D11" s="9" t="s">
        <v>15</v>
      </c>
      <c r="E11" s="9" t="s">
        <v>16</v>
      </c>
      <c r="F11" s="10" t="s">
        <v>17</v>
      </c>
      <c r="G11" s="11" t="s">
        <v>18</v>
      </c>
      <c r="H11" s="62" t="s">
        <v>19</v>
      </c>
      <c r="I11" s="12" t="s">
        <v>17</v>
      </c>
      <c r="J11" s="11" t="s">
        <v>18</v>
      </c>
      <c r="K11" s="62" t="s">
        <v>19</v>
      </c>
      <c r="L11" s="12" t="s">
        <v>17</v>
      </c>
      <c r="M11" s="11" t="s">
        <v>18</v>
      </c>
      <c r="N11" s="61" t="s">
        <v>19</v>
      </c>
      <c r="O11" s="12" t="s">
        <v>17</v>
      </c>
      <c r="P11" s="11" t="s">
        <v>18</v>
      </c>
      <c r="Q11" s="61" t="s">
        <v>19</v>
      </c>
      <c r="R11" s="61" t="s">
        <v>17</v>
      </c>
      <c r="S11" s="11" t="s">
        <v>18</v>
      </c>
      <c r="T11" s="61" t="s">
        <v>19</v>
      </c>
      <c r="U11" s="12" t="s">
        <v>17</v>
      </c>
      <c r="V11" s="11" t="s">
        <v>18</v>
      </c>
      <c r="W11" s="61" t="s">
        <v>19</v>
      </c>
      <c r="X11" s="12" t="s">
        <v>17</v>
      </c>
      <c r="Y11" s="11" t="s">
        <v>18</v>
      </c>
      <c r="Z11" s="61" t="s">
        <v>19</v>
      </c>
      <c r="AA11" s="62" t="s">
        <v>17</v>
      </c>
      <c r="AB11" s="11" t="s">
        <v>18</v>
      </c>
      <c r="AC11" s="61" t="s">
        <v>19</v>
      </c>
      <c r="AD11" s="12" t="s">
        <v>17</v>
      </c>
      <c r="AE11" s="11" t="s">
        <v>18</v>
      </c>
      <c r="AF11" s="61" t="s">
        <v>19</v>
      </c>
      <c r="AG11" s="12" t="s">
        <v>17</v>
      </c>
      <c r="AH11" s="11" t="s">
        <v>18</v>
      </c>
      <c r="AI11" s="61" t="s">
        <v>19</v>
      </c>
      <c r="AJ11" s="12" t="s">
        <v>17</v>
      </c>
      <c r="AK11" s="11" t="s">
        <v>18</v>
      </c>
      <c r="AL11" s="61" t="s">
        <v>19</v>
      </c>
      <c r="AM11" s="12" t="s">
        <v>17</v>
      </c>
      <c r="AN11" s="13" t="s">
        <v>18</v>
      </c>
      <c r="AO11" s="61" t="s">
        <v>19</v>
      </c>
      <c r="AP11" s="14" t="s">
        <v>17</v>
      </c>
      <c r="AQ11" s="8"/>
    </row>
    <row r="12" spans="1:43" ht="28.5" customHeight="1" x14ac:dyDescent="0.25">
      <c r="A12" s="96"/>
      <c r="B12" s="99" t="s">
        <v>37</v>
      </c>
      <c r="C12" s="16" t="s">
        <v>20</v>
      </c>
      <c r="D12" s="39">
        <f t="shared" ref="D12:E20" si="0">G12+J12+M12+P12+S12+V12+Y12+AB12+AE12+AH12+AK12+AN12</f>
        <v>421001.21</v>
      </c>
      <c r="E12" s="39">
        <f t="shared" si="0"/>
        <v>44874.6</v>
      </c>
      <c r="F12" s="59">
        <f t="shared" ref="F12:F20" si="1">E12/D12*100</f>
        <v>10.659019246049196</v>
      </c>
      <c r="G12" s="26">
        <f t="shared" ref="G12:H16" si="2">G17+G22+G27</f>
        <v>14552.8</v>
      </c>
      <c r="H12" s="58">
        <f t="shared" si="2"/>
        <v>28193.279999999999</v>
      </c>
      <c r="I12" s="58">
        <f>H12/G12*100</f>
        <v>193.73096586223957</v>
      </c>
      <c r="J12" s="26">
        <f>J17+J22+J27</f>
        <v>35544.57</v>
      </c>
      <c r="K12" s="58">
        <f>K13+K14+K15+K16</f>
        <v>16681.32</v>
      </c>
      <c r="L12" s="26">
        <v>0</v>
      </c>
      <c r="M12" s="26">
        <f>M17+M22+M27</f>
        <v>34729.699999999997</v>
      </c>
      <c r="N12" s="58">
        <v>0</v>
      </c>
      <c r="O12" s="26">
        <v>0</v>
      </c>
      <c r="P12" s="26">
        <f>P17+P22+P27</f>
        <v>40065.11</v>
      </c>
      <c r="Q12" s="58">
        <v>0</v>
      </c>
      <c r="R12" s="58">
        <v>0</v>
      </c>
      <c r="S12" s="58">
        <f>S17+S22+S27</f>
        <v>46797.21</v>
      </c>
      <c r="T12" s="58">
        <v>0</v>
      </c>
      <c r="U12" s="26">
        <v>0</v>
      </c>
      <c r="V12" s="26">
        <f>V17+V22+V27</f>
        <v>46235.11</v>
      </c>
      <c r="W12" s="36">
        <v>0</v>
      </c>
      <c r="X12" s="26">
        <v>0</v>
      </c>
      <c r="Y12" s="26">
        <f>Y17+Y22+Y27</f>
        <v>43019.41</v>
      </c>
      <c r="Z12" s="26">
        <v>0</v>
      </c>
      <c r="AA12" s="26">
        <v>0</v>
      </c>
      <c r="AB12" s="26">
        <f>AB17+AB22+AB27</f>
        <v>34826.21</v>
      </c>
      <c r="AC12" s="26">
        <v>0</v>
      </c>
      <c r="AD12" s="26">
        <v>0</v>
      </c>
      <c r="AE12" s="26">
        <f>AE17+AE22+AE27</f>
        <v>33833.21</v>
      </c>
      <c r="AF12" s="26">
        <v>0</v>
      </c>
      <c r="AG12" s="26">
        <v>0</v>
      </c>
      <c r="AH12" s="26">
        <f>AH17+AH22+AH27</f>
        <v>34142.81</v>
      </c>
      <c r="AI12" s="26">
        <v>0</v>
      </c>
      <c r="AJ12" s="26">
        <v>0</v>
      </c>
      <c r="AK12" s="26">
        <f>AK17+AK22+AK27</f>
        <v>31929.010000000002</v>
      </c>
      <c r="AL12" s="26">
        <v>0</v>
      </c>
      <c r="AM12" s="26">
        <v>0</v>
      </c>
      <c r="AN12" s="26">
        <f>AN17+AN22+AN27</f>
        <v>25326.059999999998</v>
      </c>
      <c r="AO12" s="26">
        <v>0</v>
      </c>
      <c r="AP12" s="26">
        <v>0</v>
      </c>
      <c r="AQ12" s="17"/>
    </row>
    <row r="13" spans="1:43" ht="39" customHeight="1" x14ac:dyDescent="0.25">
      <c r="A13" s="97"/>
      <c r="B13" s="100"/>
      <c r="C13" s="18" t="s">
        <v>21</v>
      </c>
      <c r="D13" s="41">
        <f t="shared" si="0"/>
        <v>420171.00999999995</v>
      </c>
      <c r="E13" s="41">
        <f t="shared" si="0"/>
        <v>44874.6</v>
      </c>
      <c r="F13" s="59">
        <f t="shared" si="1"/>
        <v>10.680079998855705</v>
      </c>
      <c r="G13" s="26">
        <f t="shared" si="2"/>
        <v>14552.8</v>
      </c>
      <c r="H13" s="58">
        <f t="shared" si="2"/>
        <v>28193.279999999999</v>
      </c>
      <c r="I13" s="26">
        <f>H13/G13*100</f>
        <v>193.73096586223957</v>
      </c>
      <c r="J13" s="26">
        <f>J18+J23+J28</f>
        <v>35536.17</v>
      </c>
      <c r="K13" s="58">
        <f>K18+K23+K28</f>
        <v>16681.32</v>
      </c>
      <c r="L13" s="26">
        <v>0</v>
      </c>
      <c r="M13" s="26">
        <f>M18+M23+M28</f>
        <v>34109.899999999994</v>
      </c>
      <c r="N13" s="58">
        <v>0</v>
      </c>
      <c r="O13" s="26">
        <v>0</v>
      </c>
      <c r="P13" s="26">
        <f>P18+P23+P28</f>
        <v>40065.410000000003</v>
      </c>
      <c r="Q13" s="58">
        <v>0</v>
      </c>
      <c r="R13" s="58">
        <v>0</v>
      </c>
      <c r="S13" s="58">
        <f>S18+S23+S28</f>
        <v>46797.509999999995</v>
      </c>
      <c r="T13" s="58">
        <v>0</v>
      </c>
      <c r="U13" s="26">
        <v>0</v>
      </c>
      <c r="V13" s="26">
        <f>V18+V23+V28</f>
        <v>46204.509999999995</v>
      </c>
      <c r="W13" s="36">
        <v>0</v>
      </c>
      <c r="X13" s="26">
        <v>0</v>
      </c>
      <c r="Y13" s="26">
        <f>Y18+Y23+Y28</f>
        <v>43019.710000000006</v>
      </c>
      <c r="Z13" s="26">
        <v>0</v>
      </c>
      <c r="AA13" s="26">
        <v>0</v>
      </c>
      <c r="AB13" s="26">
        <f>AB18+AB23+AB28</f>
        <v>34755.11</v>
      </c>
      <c r="AC13" s="26">
        <v>0</v>
      </c>
      <c r="AD13" s="26">
        <v>0</v>
      </c>
      <c r="AE13" s="26">
        <f>AE18+AE23+AE28</f>
        <v>33761.909999999996</v>
      </c>
      <c r="AF13" s="26">
        <v>0</v>
      </c>
      <c r="AG13" s="26">
        <v>0</v>
      </c>
      <c r="AH13" s="26">
        <f>AH18+AH23+AH28</f>
        <v>34143.11</v>
      </c>
      <c r="AI13" s="26">
        <v>0</v>
      </c>
      <c r="AJ13" s="26">
        <v>0</v>
      </c>
      <c r="AK13" s="26">
        <f>AK18+AK23+AK28</f>
        <v>31898.410000000003</v>
      </c>
      <c r="AL13" s="26">
        <v>0</v>
      </c>
      <c r="AM13" s="26">
        <v>0</v>
      </c>
      <c r="AN13" s="26">
        <f>AN18+AN23+AN28</f>
        <v>25326.46</v>
      </c>
      <c r="AO13" s="26">
        <v>0</v>
      </c>
      <c r="AP13" s="59">
        <v>0</v>
      </c>
      <c r="AQ13" s="19"/>
    </row>
    <row r="14" spans="1:43" ht="30" customHeight="1" x14ac:dyDescent="0.25">
      <c r="A14" s="97"/>
      <c r="B14" s="100"/>
      <c r="C14" s="18" t="s">
        <v>22</v>
      </c>
      <c r="D14" s="41">
        <f t="shared" si="0"/>
        <v>699.60000000000014</v>
      </c>
      <c r="E14" s="41">
        <f t="shared" si="0"/>
        <v>0</v>
      </c>
      <c r="F14" s="25">
        <f t="shared" si="1"/>
        <v>0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8.4</v>
      </c>
      <c r="K14" s="27">
        <v>0</v>
      </c>
      <c r="L14" s="27" t="e">
        <v>#DIV/0!</v>
      </c>
      <c r="M14" s="26">
        <f>M19+M24+M29</f>
        <v>489.2</v>
      </c>
      <c r="N14" s="28">
        <v>0</v>
      </c>
      <c r="O14" s="27">
        <v>0</v>
      </c>
      <c r="P14" s="26">
        <f>P19+P24+P29</f>
        <v>-0.29999999999999893</v>
      </c>
      <c r="Q14" s="28">
        <v>0</v>
      </c>
      <c r="R14" s="28">
        <v>0</v>
      </c>
      <c r="S14" s="29">
        <f>S19+S24+S29</f>
        <v>-0.29999999999999893</v>
      </c>
      <c r="T14" s="28">
        <v>0</v>
      </c>
      <c r="U14" s="27">
        <v>0</v>
      </c>
      <c r="V14" s="29">
        <f>V19+V24+V29</f>
        <v>30.6</v>
      </c>
      <c r="W14" s="37">
        <v>0</v>
      </c>
      <c r="X14" s="27">
        <v>0</v>
      </c>
      <c r="Y14" s="29">
        <f>Y19+Y24+Y29</f>
        <v>-0.29999999999999893</v>
      </c>
      <c r="Z14" s="28">
        <v>0</v>
      </c>
      <c r="AA14" s="27">
        <v>0</v>
      </c>
      <c r="AB14" s="29">
        <f>AB19+AB24+AB29</f>
        <v>71.100000000000009</v>
      </c>
      <c r="AC14" s="28">
        <v>0</v>
      </c>
      <c r="AD14" s="27">
        <v>0</v>
      </c>
      <c r="AE14" s="29">
        <f>AE19+AE24+AE29</f>
        <v>71.300000000000011</v>
      </c>
      <c r="AF14" s="28">
        <v>0</v>
      </c>
      <c r="AG14" s="27" t="e">
        <v>#DIV/0!</v>
      </c>
      <c r="AH14" s="29">
        <f>AH19+AH24+AH29</f>
        <v>-0.29999999999999893</v>
      </c>
      <c r="AI14" s="28">
        <v>0</v>
      </c>
      <c r="AJ14" s="27" t="e">
        <v>#DIV/0!</v>
      </c>
      <c r="AK14" s="29">
        <f>AK19+AK24+AK29</f>
        <v>30.6</v>
      </c>
      <c r="AL14" s="28">
        <v>0</v>
      </c>
      <c r="AM14" s="27" t="e">
        <v>#DIV/0!</v>
      </c>
      <c r="AN14" s="44">
        <f>AN19+AN24+AN29</f>
        <v>-0.39999999999999858</v>
      </c>
      <c r="AO14" s="28">
        <v>0</v>
      </c>
      <c r="AP14" s="45" t="e">
        <v>#DIV/0!</v>
      </c>
      <c r="AQ14" s="20"/>
    </row>
    <row r="15" spans="1:43" ht="33" customHeight="1" x14ac:dyDescent="0.25">
      <c r="A15" s="97"/>
      <c r="B15" s="100"/>
      <c r="C15" s="18" t="s">
        <v>23</v>
      </c>
      <c r="D15" s="41">
        <f t="shared" si="0"/>
        <v>130.6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130.6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0</v>
      </c>
      <c r="T15" s="28">
        <v>0</v>
      </c>
      <c r="U15" s="27">
        <v>0</v>
      </c>
      <c r="V15" s="26">
        <f>V20+V25+V30</f>
        <v>0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8"/>
      <c r="B16" s="101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87" t="s">
        <v>25</v>
      </c>
      <c r="B17" s="90" t="s">
        <v>33</v>
      </c>
      <c r="C17" s="16" t="s">
        <v>20</v>
      </c>
      <c r="D17" s="39">
        <f t="shared" si="0"/>
        <v>4031.88</v>
      </c>
      <c r="E17" s="39">
        <f t="shared" si="0"/>
        <v>137.5</v>
      </c>
      <c r="F17" s="32">
        <f t="shared" si="1"/>
        <v>3.410319751579908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240.37</v>
      </c>
      <c r="K17" s="32">
        <f>K18+K19+K20+K21</f>
        <v>137.5</v>
      </c>
      <c r="L17" s="32">
        <v>0</v>
      </c>
      <c r="M17" s="32">
        <f>M18+M19+M20+M21</f>
        <v>749.86</v>
      </c>
      <c r="N17" s="32">
        <v>0</v>
      </c>
      <c r="O17" s="32">
        <v>0</v>
      </c>
      <c r="P17" s="32">
        <f>P18+P19+P20+P21</f>
        <v>344.27</v>
      </c>
      <c r="Q17" s="32">
        <v>0</v>
      </c>
      <c r="R17" s="33">
        <v>0</v>
      </c>
      <c r="S17" s="32">
        <f>S18+S19+S20+S21</f>
        <v>230.07</v>
      </c>
      <c r="T17" s="32">
        <v>0</v>
      </c>
      <c r="U17" s="33">
        <v>0</v>
      </c>
      <c r="V17" s="32">
        <f>V18+V19+V20+V21</f>
        <v>306.47000000000003</v>
      </c>
      <c r="W17" s="39">
        <v>0</v>
      </c>
      <c r="X17" s="33">
        <v>0</v>
      </c>
      <c r="Y17" s="32">
        <f>Y18+Y19+Y20+Y21</f>
        <v>230.07</v>
      </c>
      <c r="Z17" s="32">
        <v>0</v>
      </c>
      <c r="AA17" s="33">
        <v>0</v>
      </c>
      <c r="AB17" s="32">
        <f>AB18+AB19+AB20+AB21</f>
        <v>809.87</v>
      </c>
      <c r="AC17" s="32">
        <v>0</v>
      </c>
      <c r="AD17" s="33">
        <v>0</v>
      </c>
      <c r="AE17" s="32">
        <f>AE18+AE19+AE20+AE21</f>
        <v>394.37</v>
      </c>
      <c r="AF17" s="32">
        <v>0</v>
      </c>
      <c r="AG17" s="33">
        <v>0</v>
      </c>
      <c r="AH17" s="32">
        <f>AH18+AH19+AH20+AH21</f>
        <v>230.07</v>
      </c>
      <c r="AI17" s="32">
        <v>0</v>
      </c>
      <c r="AJ17" s="33">
        <v>0</v>
      </c>
      <c r="AK17" s="32">
        <f>AK18+AK19+AK20+AK21</f>
        <v>266.47000000000003</v>
      </c>
      <c r="AL17" s="32">
        <v>0</v>
      </c>
      <c r="AM17" s="33" t="e">
        <v>#DIV/0!</v>
      </c>
      <c r="AN17" s="32">
        <f>AN18+AN19+AN20+AN21</f>
        <v>229.98999999999998</v>
      </c>
      <c r="AO17" s="32">
        <v>0</v>
      </c>
      <c r="AP17" s="32" t="e">
        <v>#DIV/0!</v>
      </c>
      <c r="AQ17" s="17"/>
    </row>
    <row r="18" spans="1:43" ht="26.25" customHeight="1" x14ac:dyDescent="0.25">
      <c r="A18" s="88"/>
      <c r="B18" s="91"/>
      <c r="C18" s="18" t="s">
        <v>21</v>
      </c>
      <c r="D18" s="41">
        <f t="shared" si="0"/>
        <v>3636.9799999999996</v>
      </c>
      <c r="E18" s="41">
        <f t="shared" si="0"/>
        <v>137.5</v>
      </c>
      <c r="F18" s="25">
        <f t="shared" si="1"/>
        <v>3.7806091867428475</v>
      </c>
      <c r="G18" s="30">
        <v>0</v>
      </c>
      <c r="H18" s="25">
        <v>0</v>
      </c>
      <c r="I18" s="27" t="e">
        <v>#DIV/0!</v>
      </c>
      <c r="J18" s="30">
        <f>3.1+228.87</f>
        <v>231.97</v>
      </c>
      <c r="K18" s="66">
        <v>137.5</v>
      </c>
      <c r="L18" s="27">
        <v>0</v>
      </c>
      <c r="M18" s="30">
        <f>236.5+228.87+99.99</f>
        <v>565.36</v>
      </c>
      <c r="N18" s="25">
        <v>0</v>
      </c>
      <c r="O18" s="27">
        <v>0</v>
      </c>
      <c r="P18" s="30">
        <f>115.7+228.87</f>
        <v>344.57</v>
      </c>
      <c r="Q18" s="25">
        <v>0</v>
      </c>
      <c r="R18" s="28">
        <v>0</v>
      </c>
      <c r="S18" s="30">
        <f>1.5+228.87</f>
        <v>230.37</v>
      </c>
      <c r="T18" s="25">
        <v>0</v>
      </c>
      <c r="U18" s="27">
        <v>0</v>
      </c>
      <c r="V18" s="55">
        <f>47+228.87</f>
        <v>275.87</v>
      </c>
      <c r="W18" s="56">
        <v>0</v>
      </c>
      <c r="X18" s="27">
        <v>0</v>
      </c>
      <c r="Y18" s="30">
        <f>1.5+228.87</f>
        <v>230.37</v>
      </c>
      <c r="Z18" s="25">
        <v>0</v>
      </c>
      <c r="AA18" s="27">
        <v>0</v>
      </c>
      <c r="AB18" s="30">
        <f>509.9+228.87</f>
        <v>738.77</v>
      </c>
      <c r="AC18" s="25">
        <v>0</v>
      </c>
      <c r="AD18" s="27">
        <v>0</v>
      </c>
      <c r="AE18" s="30">
        <f>94.2+228.87</f>
        <v>323.07</v>
      </c>
      <c r="AF18" s="25">
        <v>0</v>
      </c>
      <c r="AG18" s="27">
        <v>0</v>
      </c>
      <c r="AH18" s="30">
        <f>1.5+228.87</f>
        <v>230.37</v>
      </c>
      <c r="AI18" s="25">
        <v>0</v>
      </c>
      <c r="AJ18" s="27">
        <v>0</v>
      </c>
      <c r="AK18" s="30">
        <f>7+228.87</f>
        <v>235.87</v>
      </c>
      <c r="AL18" s="25">
        <v>0</v>
      </c>
      <c r="AM18" s="27" t="e">
        <v>#DIV/0!</v>
      </c>
      <c r="AN18" s="47">
        <f>1.5+228.89</f>
        <v>230.39</v>
      </c>
      <c r="AO18" s="25">
        <v>0</v>
      </c>
      <c r="AP18" s="43" t="e">
        <v>#DIV/0!</v>
      </c>
      <c r="AQ18" s="19"/>
    </row>
    <row r="19" spans="1:43" ht="26.25" customHeight="1" x14ac:dyDescent="0.25">
      <c r="A19" s="88"/>
      <c r="B19" s="91"/>
      <c r="C19" s="16" t="s">
        <v>22</v>
      </c>
      <c r="D19" s="41">
        <f t="shared" si="0"/>
        <v>394.90000000000003</v>
      </c>
      <c r="E19" s="41">
        <f t="shared" si="0"/>
        <v>0</v>
      </c>
      <c r="F19" s="25">
        <f t="shared" si="1"/>
        <v>0</v>
      </c>
      <c r="G19" s="30">
        <v>0</v>
      </c>
      <c r="H19" s="25">
        <v>0</v>
      </c>
      <c r="I19" s="27" t="e">
        <v>#DIV/0!</v>
      </c>
      <c r="J19" s="30">
        <f>17.5-9.1</f>
        <v>8.4</v>
      </c>
      <c r="K19" s="66">
        <v>0</v>
      </c>
      <c r="L19" s="27" t="e">
        <v>#DIV/0!</v>
      </c>
      <c r="M19" s="30">
        <f>193.6-9.1</f>
        <v>184.5</v>
      </c>
      <c r="N19" s="31">
        <v>0</v>
      </c>
      <c r="O19" s="27">
        <v>0</v>
      </c>
      <c r="P19" s="30">
        <f>8.8-9.1</f>
        <v>-0.29999999999999893</v>
      </c>
      <c r="Q19" s="31">
        <v>0</v>
      </c>
      <c r="R19" s="28">
        <v>0</v>
      </c>
      <c r="S19" s="30">
        <f>8.8-9.1</f>
        <v>-0.29999999999999893</v>
      </c>
      <c r="T19" s="25">
        <v>0</v>
      </c>
      <c r="U19" s="27">
        <v>0</v>
      </c>
      <c r="V19" s="30">
        <f>39.7-9.1</f>
        <v>30.6</v>
      </c>
      <c r="W19" s="56">
        <v>0</v>
      </c>
      <c r="X19" s="27">
        <v>0</v>
      </c>
      <c r="Y19" s="30">
        <f>8.8-9.1</f>
        <v>-0.29999999999999893</v>
      </c>
      <c r="Z19" s="25">
        <v>0</v>
      </c>
      <c r="AA19" s="27">
        <v>0</v>
      </c>
      <c r="AB19" s="30">
        <f>80.2-9.1</f>
        <v>71.100000000000009</v>
      </c>
      <c r="AC19" s="25">
        <v>0</v>
      </c>
      <c r="AD19" s="27">
        <v>0</v>
      </c>
      <c r="AE19" s="30">
        <f>80.4-9.1</f>
        <v>71.300000000000011</v>
      </c>
      <c r="AF19" s="25">
        <v>0</v>
      </c>
      <c r="AG19" s="27" t="e">
        <v>#DIV/0!</v>
      </c>
      <c r="AH19" s="30">
        <f>8.8-9.1</f>
        <v>-0.29999999999999893</v>
      </c>
      <c r="AI19" s="25">
        <v>0</v>
      </c>
      <c r="AJ19" s="27" t="e">
        <v>#DIV/0!</v>
      </c>
      <c r="AK19" s="30">
        <f>39.7-9.1</f>
        <v>30.6</v>
      </c>
      <c r="AL19" s="25">
        <v>0</v>
      </c>
      <c r="AM19" s="27" t="e">
        <v>#DIV/0!</v>
      </c>
      <c r="AN19" s="47">
        <f>8.8-9.2</f>
        <v>-0.39999999999999858</v>
      </c>
      <c r="AO19" s="25">
        <v>0</v>
      </c>
      <c r="AP19" s="43" t="e">
        <v>#DIV/0!</v>
      </c>
      <c r="AQ19" s="20"/>
    </row>
    <row r="20" spans="1:43" ht="26.25" customHeight="1" x14ac:dyDescent="0.25">
      <c r="A20" s="88"/>
      <c r="B20" s="91"/>
      <c r="C20" s="18" t="s">
        <v>23</v>
      </c>
      <c r="D20" s="41">
        <f t="shared" si="0"/>
        <v>0</v>
      </c>
      <c r="E20" s="41">
        <f t="shared" si="0"/>
        <v>0</v>
      </c>
      <c r="F20" s="25" t="e">
        <f t="shared" si="1"/>
        <v>#DIV/0!</v>
      </c>
      <c r="G20" s="30">
        <v>0</v>
      </c>
      <c r="H20" s="25">
        <v>0</v>
      </c>
      <c r="I20" s="27" t="e">
        <v>#DIV/0!</v>
      </c>
      <c r="J20" s="30">
        <v>0</v>
      </c>
      <c r="K20" s="66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89"/>
      <c r="B21" s="92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87" t="s">
        <v>26</v>
      </c>
      <c r="B22" s="93" t="s">
        <v>34</v>
      </c>
      <c r="C22" s="16" t="s">
        <v>20</v>
      </c>
      <c r="D22" s="39">
        <f>G22+J22+M22+P22+S22+V22+Y22+AB22+AE22+AH22+AK22+AN22</f>
        <v>3658.3</v>
      </c>
      <c r="E22" s="39">
        <f>H22+K22+N22+Q22+T22+W22+Z22+AC22+AF22+AI22+AL22+AO22</f>
        <v>10.5</v>
      </c>
      <c r="F22" s="32">
        <f>E22/D22*100</f>
        <v>0.28701856053358116</v>
      </c>
      <c r="G22" s="32">
        <f>G23+G24+G25+G26</f>
        <v>17.5</v>
      </c>
      <c r="H22" s="32">
        <f>H23+H24+H25+H26</f>
        <v>0</v>
      </c>
      <c r="I22" s="33" t="e">
        <v>#DIV/0!</v>
      </c>
      <c r="J22" s="32">
        <f>J23+J24+J25+J26</f>
        <v>40.299999999999997</v>
      </c>
      <c r="K22" s="33">
        <f>K23+K24+K25+K26</f>
        <v>10.5</v>
      </c>
      <c r="L22" s="33">
        <v>0</v>
      </c>
      <c r="M22" s="32">
        <f>M23+M24+M25+M26</f>
        <v>956.1</v>
      </c>
      <c r="N22" s="32">
        <v>0</v>
      </c>
      <c r="O22" s="33">
        <v>0</v>
      </c>
      <c r="P22" s="32">
        <f>P23+P24+P25+P26</f>
        <v>102.89999999999999</v>
      </c>
      <c r="Q22" s="32">
        <v>0</v>
      </c>
      <c r="R22" s="33">
        <v>0</v>
      </c>
      <c r="S22" s="32">
        <f>S23+S24+S25+S26</f>
        <v>338.40000000000003</v>
      </c>
      <c r="T22" s="32">
        <v>0</v>
      </c>
      <c r="U22" s="33">
        <v>0</v>
      </c>
      <c r="V22" s="32">
        <f>V23+V24+V25+V26</f>
        <v>424.90000000000003</v>
      </c>
      <c r="W22" s="39">
        <v>0</v>
      </c>
      <c r="X22" s="33">
        <v>0</v>
      </c>
      <c r="Y22" s="32">
        <f>Y23+Y24+Y25+Y26</f>
        <v>1230</v>
      </c>
      <c r="Z22" s="32">
        <v>0</v>
      </c>
      <c r="AA22" s="33">
        <v>0</v>
      </c>
      <c r="AB22" s="32">
        <f>AB23+AB24+AB25+AB26</f>
        <v>68.599999999999994</v>
      </c>
      <c r="AC22" s="32">
        <v>0</v>
      </c>
      <c r="AD22" s="33">
        <v>0</v>
      </c>
      <c r="AE22" s="32">
        <f>AE23+AE24+AE25+AE26</f>
        <v>33.700000000000003</v>
      </c>
      <c r="AF22" s="32">
        <v>0</v>
      </c>
      <c r="AG22" s="33">
        <v>0</v>
      </c>
      <c r="AH22" s="32">
        <f>AH23+AH24+AH25+AH26</f>
        <v>41.1</v>
      </c>
      <c r="AI22" s="32">
        <v>0</v>
      </c>
      <c r="AJ22" s="33">
        <v>0</v>
      </c>
      <c r="AK22" s="32">
        <f>AK23+AK24+AK25+AK26</f>
        <v>118.1</v>
      </c>
      <c r="AL22" s="32">
        <v>0</v>
      </c>
      <c r="AM22" s="33">
        <v>0</v>
      </c>
      <c r="AN22" s="48">
        <f>AN23+AN24+AN25+AN26</f>
        <v>286.70000000000005</v>
      </c>
      <c r="AO22" s="32">
        <v>0</v>
      </c>
      <c r="AP22" s="32" t="e">
        <v>#DIV/0!</v>
      </c>
      <c r="AQ22" s="17"/>
    </row>
    <row r="23" spans="1:43" ht="26.25" customHeight="1" x14ac:dyDescent="0.25">
      <c r="A23" s="88"/>
      <c r="B23" s="94"/>
      <c r="C23" s="16" t="s">
        <v>21</v>
      </c>
      <c r="D23" s="41">
        <f t="shared" ref="D23:E31" si="3">G23+J23+M23+P23+S23+V23+Y23+AB23+AE23+AH23+AK23+AN23</f>
        <v>3223</v>
      </c>
      <c r="E23" s="41">
        <f t="shared" si="3"/>
        <v>10.5</v>
      </c>
      <c r="F23" s="25">
        <f>E23/D23*100</f>
        <v>0.32578343158547934</v>
      </c>
      <c r="G23" s="30">
        <v>17.5</v>
      </c>
      <c r="H23" s="25">
        <v>0</v>
      </c>
      <c r="I23" s="27" t="e">
        <v>#DIV/0!</v>
      </c>
      <c r="J23" s="30">
        <f>10.5+29.8</f>
        <v>40.299999999999997</v>
      </c>
      <c r="K23" s="66">
        <v>10.5</v>
      </c>
      <c r="L23" s="27">
        <v>0</v>
      </c>
      <c r="M23" s="30">
        <f>483.2+29.8+7.8</f>
        <v>520.79999999999995</v>
      </c>
      <c r="N23" s="25">
        <v>0</v>
      </c>
      <c r="O23" s="27">
        <v>0</v>
      </c>
      <c r="P23" s="30">
        <f>73.1+29.8</f>
        <v>102.89999999999999</v>
      </c>
      <c r="Q23" s="25">
        <v>0</v>
      </c>
      <c r="R23" s="28">
        <v>0</v>
      </c>
      <c r="S23" s="30">
        <f>308.6+29.8</f>
        <v>338.40000000000003</v>
      </c>
      <c r="T23" s="25">
        <v>0</v>
      </c>
      <c r="U23" s="27">
        <v>0</v>
      </c>
      <c r="V23" s="54">
        <f>395.1+29.8</f>
        <v>424.90000000000003</v>
      </c>
      <c r="W23" s="56">
        <v>0</v>
      </c>
      <c r="X23" s="27">
        <v>0</v>
      </c>
      <c r="Y23" s="30">
        <f>1200.2+29.8</f>
        <v>1230</v>
      </c>
      <c r="Z23" s="25">
        <v>0</v>
      </c>
      <c r="AA23" s="27">
        <v>0</v>
      </c>
      <c r="AB23" s="30">
        <f>38.8+29.8</f>
        <v>68.599999999999994</v>
      </c>
      <c r="AC23" s="25">
        <v>0</v>
      </c>
      <c r="AD23" s="27">
        <v>0</v>
      </c>
      <c r="AE23" s="30">
        <f>3.9+29.8</f>
        <v>33.700000000000003</v>
      </c>
      <c r="AF23" s="25">
        <v>0</v>
      </c>
      <c r="AG23" s="27">
        <v>0</v>
      </c>
      <c r="AH23" s="30">
        <f>11.3+29.8</f>
        <v>41.1</v>
      </c>
      <c r="AI23" s="25">
        <v>0</v>
      </c>
      <c r="AJ23" s="27">
        <v>0</v>
      </c>
      <c r="AK23" s="30">
        <f>88.3+29.8</f>
        <v>118.1</v>
      </c>
      <c r="AL23" s="25">
        <v>0</v>
      </c>
      <c r="AM23" s="27">
        <v>0</v>
      </c>
      <c r="AN23" s="47">
        <f>256.6+30.1</f>
        <v>286.70000000000005</v>
      </c>
      <c r="AO23" s="25">
        <v>0</v>
      </c>
      <c r="AP23" s="43" t="e">
        <v>#DIV/0!</v>
      </c>
      <c r="AQ23" s="19"/>
    </row>
    <row r="24" spans="1:43" ht="26.25" customHeight="1" x14ac:dyDescent="0.25">
      <c r="A24" s="88"/>
      <c r="B24" s="94"/>
      <c r="C24" s="18" t="s">
        <v>22</v>
      </c>
      <c r="D24" s="41">
        <f t="shared" si="3"/>
        <v>304.7</v>
      </c>
      <c r="E24" s="41">
        <f t="shared" si="3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66">
        <v>0</v>
      </c>
      <c r="L24" s="27" t="e">
        <v>#DIV/0!</v>
      </c>
      <c r="M24" s="30">
        <v>304.7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88"/>
      <c r="B25" s="94"/>
      <c r="C25" s="18" t="s">
        <v>23</v>
      </c>
      <c r="D25" s="41">
        <f t="shared" si="3"/>
        <v>130.6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66">
        <v>0</v>
      </c>
      <c r="L25" s="27" t="e">
        <v>#DIV/0!</v>
      </c>
      <c r="M25" s="30">
        <v>130.6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89"/>
      <c r="B26" s="95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87" t="s">
        <v>32</v>
      </c>
      <c r="B27" s="93" t="s">
        <v>35</v>
      </c>
      <c r="C27" s="21" t="s">
        <v>20</v>
      </c>
      <c r="D27" s="40">
        <f t="shared" si="3"/>
        <v>413311.03</v>
      </c>
      <c r="E27" s="39">
        <f t="shared" si="3"/>
        <v>44726.6</v>
      </c>
      <c r="F27" s="32">
        <f>E27/D27*100</f>
        <v>10.821535539470116</v>
      </c>
      <c r="G27" s="34">
        <f>G28+G29+G30+G31</f>
        <v>14535.3</v>
      </c>
      <c r="H27" s="34">
        <f>H28+H29+H30+H31</f>
        <v>28193.279999999999</v>
      </c>
      <c r="I27" s="33">
        <f>H27/G27*100</f>
        <v>193.96421126498936</v>
      </c>
      <c r="J27" s="34">
        <f>J28+J29+J30+J31</f>
        <v>35263.9</v>
      </c>
      <c r="K27" s="33">
        <f>K28+K29+K30+K31</f>
        <v>16533.32</v>
      </c>
      <c r="L27" s="33">
        <v>0</v>
      </c>
      <c r="M27" s="34">
        <f>M28+M29+M30+M31</f>
        <v>33023.74</v>
      </c>
      <c r="N27" s="34">
        <v>0</v>
      </c>
      <c r="O27" s="33">
        <v>0</v>
      </c>
      <c r="P27" s="34">
        <f>P28+P29+P30+P31</f>
        <v>39617.94</v>
      </c>
      <c r="Q27" s="34">
        <v>0</v>
      </c>
      <c r="R27" s="33">
        <v>0</v>
      </c>
      <c r="S27" s="34">
        <f>S28+S29+S30+S31</f>
        <v>46228.74</v>
      </c>
      <c r="T27" s="34">
        <v>0</v>
      </c>
      <c r="U27" s="33">
        <v>0</v>
      </c>
      <c r="V27" s="34">
        <f>V28+V29+V30+V31</f>
        <v>45503.74</v>
      </c>
      <c r="W27" s="40">
        <v>0</v>
      </c>
      <c r="X27" s="33">
        <v>0</v>
      </c>
      <c r="Y27" s="34">
        <f>Y28+Y29+Y30+Y31</f>
        <v>41559.340000000004</v>
      </c>
      <c r="Z27" s="34">
        <v>0</v>
      </c>
      <c r="AA27" s="33">
        <v>0</v>
      </c>
      <c r="AB27" s="34">
        <f>AB28+AB29+AB30+AB31</f>
        <v>33947.74</v>
      </c>
      <c r="AC27" s="32">
        <v>0</v>
      </c>
      <c r="AD27" s="33">
        <v>0</v>
      </c>
      <c r="AE27" s="34">
        <f>AE28+AE29+AE30+AE31</f>
        <v>33405.14</v>
      </c>
      <c r="AF27" s="34">
        <v>0</v>
      </c>
      <c r="AG27" s="33">
        <v>0</v>
      </c>
      <c r="AH27" s="34">
        <f>AH28+AH29+AH30+AH31</f>
        <v>33871.64</v>
      </c>
      <c r="AI27" s="34">
        <v>0</v>
      </c>
      <c r="AJ27" s="33">
        <v>0</v>
      </c>
      <c r="AK27" s="34">
        <f>AK28+AK29+AK30+AK31</f>
        <v>31544.440000000002</v>
      </c>
      <c r="AL27" s="34">
        <v>0</v>
      </c>
      <c r="AM27" s="33">
        <v>0</v>
      </c>
      <c r="AN27" s="49">
        <f>AN28+AN29+AN30+AN31</f>
        <v>24809.37</v>
      </c>
      <c r="AO27" s="34">
        <v>0</v>
      </c>
      <c r="AP27" s="34">
        <v>0</v>
      </c>
      <c r="AQ27" s="17"/>
    </row>
    <row r="28" spans="1:43" ht="26.25" customHeight="1" x14ac:dyDescent="0.25">
      <c r="A28" s="88"/>
      <c r="B28" s="94"/>
      <c r="C28" s="16" t="s">
        <v>21</v>
      </c>
      <c r="D28" s="42">
        <f t="shared" si="3"/>
        <v>413311.03</v>
      </c>
      <c r="E28" s="41">
        <f t="shared" si="3"/>
        <v>44726.6</v>
      </c>
      <c r="F28" s="25">
        <f>E28/D28*100</f>
        <v>10.821535539470116</v>
      </c>
      <c r="G28" s="30">
        <v>14535.3</v>
      </c>
      <c r="H28" s="65">
        <v>28193.279999999999</v>
      </c>
      <c r="I28" s="27">
        <f>H28/G28*100</f>
        <v>193.96421126498936</v>
      </c>
      <c r="J28" s="30">
        <f>35152.9+111</f>
        <v>35263.9</v>
      </c>
      <c r="K28" s="66">
        <v>16533.32</v>
      </c>
      <c r="L28" s="27">
        <v>0</v>
      </c>
      <c r="M28" s="30">
        <f>31614.2+111+1298.54</f>
        <v>33023.74</v>
      </c>
      <c r="N28" s="25">
        <v>0</v>
      </c>
      <c r="O28" s="27">
        <v>0</v>
      </c>
      <c r="P28" s="30">
        <f>38208.4+111+1298.54</f>
        <v>39617.94</v>
      </c>
      <c r="Q28" s="25">
        <v>0</v>
      </c>
      <c r="R28" s="28">
        <v>0</v>
      </c>
      <c r="S28" s="30">
        <f>44819.2+111+1298.54</f>
        <v>46228.74</v>
      </c>
      <c r="T28" s="25">
        <v>0</v>
      </c>
      <c r="U28" s="27">
        <v>0</v>
      </c>
      <c r="V28" s="54">
        <f>44094.2+111+1298.54</f>
        <v>45503.74</v>
      </c>
      <c r="W28" s="56">
        <v>0</v>
      </c>
      <c r="X28" s="27">
        <v>0</v>
      </c>
      <c r="Y28" s="30">
        <f>40149.8+111+1298.54</f>
        <v>41559.340000000004</v>
      </c>
      <c r="Z28" s="25">
        <v>0</v>
      </c>
      <c r="AA28" s="27">
        <v>0</v>
      </c>
      <c r="AB28" s="30">
        <f>32538.2+111+1298.54</f>
        <v>33947.74</v>
      </c>
      <c r="AC28" s="25">
        <v>0</v>
      </c>
      <c r="AD28" s="27">
        <v>0</v>
      </c>
      <c r="AE28" s="30">
        <f>31995.6+111+1298.54</f>
        <v>33405.14</v>
      </c>
      <c r="AF28" s="25">
        <v>0</v>
      </c>
      <c r="AG28" s="27">
        <v>0</v>
      </c>
      <c r="AH28" s="30">
        <f>32462.1+111+1298.54</f>
        <v>33871.64</v>
      </c>
      <c r="AI28" s="25">
        <v>0</v>
      </c>
      <c r="AJ28" s="27">
        <v>0</v>
      </c>
      <c r="AK28" s="30">
        <f>30134.9+111+1298.54</f>
        <v>31544.440000000002</v>
      </c>
      <c r="AL28" s="25">
        <v>0</v>
      </c>
      <c r="AM28" s="27">
        <v>0</v>
      </c>
      <c r="AN28" s="47">
        <f>23399.8+111.03+1298.54</f>
        <v>24809.37</v>
      </c>
      <c r="AO28" s="25">
        <v>0</v>
      </c>
      <c r="AP28" s="43">
        <v>0</v>
      </c>
      <c r="AQ28" s="19"/>
    </row>
    <row r="29" spans="1:43" ht="26.25" customHeight="1" x14ac:dyDescent="0.25">
      <c r="A29" s="88"/>
      <c r="B29" s="94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66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88"/>
      <c r="B30" s="94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89"/>
      <c r="B31" s="95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3"/>
      <c r="C32" s="6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103" t="s">
        <v>38</v>
      </c>
      <c r="C33" s="103"/>
      <c r="D33" s="103"/>
      <c r="E33" s="103"/>
      <c r="F33" s="103"/>
      <c r="G33" s="103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104" t="s">
        <v>42</v>
      </c>
      <c r="C34" s="104"/>
      <c r="D34" s="104"/>
      <c r="E34" s="104"/>
      <c r="F34" s="104"/>
      <c r="G34" s="104"/>
      <c r="H34" s="10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 (2)</vt:lpstr>
      <vt:lpstr>'фев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2021-03-09T12:50:49Z</dcterms:modified>
</cp:coreProperties>
</file>